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4000" windowHeight="11715" tabRatio="862" activeTab="4"/>
  </bookViews>
  <sheets>
    <sheet name="Real Estate Investment" sheetId="2" r:id="rId1"/>
    <sheet name="Stock vs Real Estate Investment" sheetId="4" r:id="rId2"/>
    <sheet name="SPACER" sheetId="7" r:id="rId3"/>
    <sheet name="Primary Residence Mortgage" sheetId="6" r:id="rId4"/>
    <sheet name="Rent vs. Own" sheetId="5" r:id="rId5"/>
  </sheets>
  <definedNames>
    <definedName name="ActualNumberOfPayments" localSheetId="3">IFERROR(IF('Primary Residence Mortgage'!LoanIsGood,IF('Primary Residence Mortgage'!PaymentsPerYear=1,1,MATCH(0.01,'Primary Residence Mortgage'!End_Bal,-1)+1)),"")</definedName>
    <definedName name="ActualNumberOfPayments">IFERROR(IF(LoanIsGood,IF(PaymentsPerYear=1,1,MATCH(0.01,End_Bal,-1)+1)),"")</definedName>
    <definedName name="ColumnTitle1" localSheetId="3">PaymentSchedule3[[#Headers],[PMT NO]]</definedName>
    <definedName name="ColumnTitle1">PaymentSchedule[[#Headers],[PMT NO]]</definedName>
    <definedName name="End_Bal" localSheetId="3">PaymentSchedule3[ENDING BALANCE]</definedName>
    <definedName name="End_Bal">PaymentSchedule[ENDING BALANCE]</definedName>
    <definedName name="ExtraPayments" localSheetId="3">'Primary Residence Mortgage'!$D$14</definedName>
    <definedName name="ExtraPayments">'Real Estate Investment'!$D$14</definedName>
    <definedName name="InterestRate" localSheetId="3">'Primary Residence Mortgage'!$D$10</definedName>
    <definedName name="InterestRate">'Real Estate Investment'!$D$10</definedName>
    <definedName name="LastCol" localSheetId="3">MATCH(REPT("z",255),'Primary Residence Mortgage'!$16:$16)</definedName>
    <definedName name="LastCol">MATCH(REPT("z",255),'Real Estate Investment'!$19:$19)</definedName>
    <definedName name="LastRow" localSheetId="3">MATCH(9.99E+307,'Primary Residence Mortgage'!$B:$B)</definedName>
    <definedName name="LastRow">MATCH(9.99E+307,'Real Estate Investment'!$B:$B)</definedName>
    <definedName name="LenderName" localSheetId="3">'Primary Residence Mortgage'!$G$12:$H$12</definedName>
    <definedName name="LenderName">'Real Estate Investment'!$G$12:$H$12</definedName>
    <definedName name="LoanAmount" localSheetId="3">'Primary Residence Mortgage'!$D$9</definedName>
    <definedName name="LoanAmount">'Real Estate Investment'!$D$9</definedName>
    <definedName name="LoanIsGood" localSheetId="3">('Primary Residence Mortgage'!$D$9*'Primary Residence Mortgage'!$D$10*'Primary Residence Mortgage'!$D$11*'Primary Residence Mortgage'!$D$13)&gt;0</definedName>
    <definedName name="LoanIsGood">('Real Estate Investment'!$D$9*'Real Estate Investment'!$D$10*'Real Estate Investment'!$D$11*'Real Estate Investment'!$D$13)&gt;0</definedName>
    <definedName name="LoanPeriod" localSheetId="3">'Primary Residence Mortgage'!$D$11</definedName>
    <definedName name="LoanPeriod">'Real Estate Investment'!$D$11</definedName>
    <definedName name="LoanStartDate" localSheetId="3">'Primary Residence Mortgage'!$D$13</definedName>
    <definedName name="LoanStartDate">'Real Estate Investment'!$D$13</definedName>
    <definedName name="PaymentsPerYear" localSheetId="3">'Primary Residence Mortgage'!$D$12</definedName>
    <definedName name="PaymentsPerYear">'Real Estate Investment'!$D$12</definedName>
    <definedName name="_xlnm.Print_Titles" localSheetId="3">'Primary Residence Mortgage'!$16:$16</definedName>
    <definedName name="_xlnm.Print_Titles" localSheetId="0">'Real Estate Investment'!$19:$19</definedName>
    <definedName name="PrintArea_SET" localSheetId="3">OFFSET('Primary Residence Mortgage'!$B$4,,,'Primary Residence Mortgage'!LastRow,'Primary Residence Mortgage'!LastCol)</definedName>
    <definedName name="PrintArea_SET">OFFSET('Real Estate Investment'!$B$4,,,LastRow,LastCol)</definedName>
    <definedName name="RowTitleRegion1..E9" localSheetId="3">'Primary Residence Mortgage'!$B$9:$C$9</definedName>
    <definedName name="RowTitleRegion1..E9">'Real Estate Investment'!$B$9:$C$9</definedName>
    <definedName name="RowTitleRegion2..I7" localSheetId="3">'Primary Residence Mortgage'!$F$6:$G$6</definedName>
    <definedName name="RowTitleRegion2..I7">'Real Estate Investment'!$F$6:$G$6</definedName>
    <definedName name="RowTitleRegion3..E9" localSheetId="3">'Primary Residence Mortgage'!$B$14</definedName>
    <definedName name="RowTitleRegion3..E9">'Real Estate Investment'!$B$14</definedName>
    <definedName name="RowTitleRegion4..H9" localSheetId="3">'Primary Residence Mortgage'!$F$12</definedName>
    <definedName name="RowTitleRegion4..H9">'Real Estate Investment'!$F$12</definedName>
    <definedName name="ScheduledNumberOfPayments" localSheetId="3">'Primary Residence Mortgage'!$H$7</definedName>
    <definedName name="ScheduledNumberOfPayments">'Real Estate Investment'!$H$7</definedName>
    <definedName name="ScheduledPayment" localSheetId="3">'Primary Residence Mortgage'!$H$6</definedName>
    <definedName name="ScheduledPayment">'Real Estate Investment'!$H$6</definedName>
    <definedName name="TotalEarlyPayments" localSheetId="3">SUM(PaymentSchedule3[EXTRA PAYMENT])</definedName>
    <definedName name="TotalEarlyPayments">SUM(PaymentSchedule[EXTRA PAYMENT])</definedName>
    <definedName name="TotalInterest" localSheetId="3">SUM(PaymentSchedule3[INTEREST])</definedName>
    <definedName name="TotalInterest">SUM(PaymentSchedule[INTEREST])</definedName>
  </definedNames>
  <calcPr calcId="125725"/>
</workbook>
</file>

<file path=xl/calcChain.xml><?xml version="1.0" encoding="utf-8"?>
<calcChain xmlns="http://schemas.openxmlformats.org/spreadsheetml/2006/main">
  <c r="N10" i="2"/>
  <c r="D16" i="5"/>
  <c r="D17" s="1"/>
  <c r="D18" s="1"/>
  <c r="D19" s="1"/>
  <c r="D20" s="1"/>
  <c r="D21" s="1"/>
  <c r="D22" s="1"/>
  <c r="D23" s="1"/>
  <c r="D24" s="1"/>
  <c r="D25" s="1"/>
  <c r="D26" s="1"/>
  <c r="D27" s="1"/>
  <c r="E5"/>
  <c r="Q32" s="1"/>
  <c r="K10" i="6"/>
  <c r="K8"/>
  <c r="D8"/>
  <c r="D9" s="1"/>
  <c r="Q21" i="5" l="1"/>
  <c r="Q29"/>
  <c r="Q20"/>
  <c r="Q17"/>
  <c r="Q25"/>
  <c r="Q33"/>
  <c r="Q16"/>
  <c r="Q24"/>
  <c r="Q34"/>
  <c r="Q23"/>
  <c r="Q35"/>
  <c r="Q22"/>
  <c r="Q36"/>
  <c r="Q28"/>
  <c r="Q37"/>
  <c r="Q38"/>
  <c r="Q30"/>
  <c r="Q19"/>
  <c r="Q27"/>
  <c r="Q39" s="1"/>
  <c r="Q51" s="1"/>
  <c r="Q31"/>
  <c r="Q18"/>
  <c r="Q26"/>
  <c r="E6"/>
  <c r="D28"/>
  <c r="B19" i="6"/>
  <c r="H7"/>
  <c r="B173" s="1"/>
  <c r="K27" i="5" l="1"/>
  <c r="K39" s="1"/>
  <c r="K51" s="1"/>
  <c r="K63" s="1"/>
  <c r="K75" s="1"/>
  <c r="K87" s="1"/>
  <c r="K99" s="1"/>
  <c r="K111" s="1"/>
  <c r="K123" s="1"/>
  <c r="K135" s="1"/>
  <c r="K147" s="1"/>
  <c r="K159" s="1"/>
  <c r="K171" s="1"/>
  <c r="K183" s="1"/>
  <c r="K195" s="1"/>
  <c r="K207" s="1"/>
  <c r="K219" s="1"/>
  <c r="K231" s="1"/>
  <c r="K243" s="1"/>
  <c r="K255" s="1"/>
  <c r="K267" s="1"/>
  <c r="K279" s="1"/>
  <c r="K291" s="1"/>
  <c r="K303" s="1"/>
  <c r="K315" s="1"/>
  <c r="K327" s="1"/>
  <c r="K339" s="1"/>
  <c r="K351" s="1"/>
  <c r="K363" s="1"/>
  <c r="K375" s="1"/>
  <c r="Q63"/>
  <c r="D29"/>
  <c r="B30" i="6"/>
  <c r="C30" s="1"/>
  <c r="B23"/>
  <c r="B26"/>
  <c r="B34"/>
  <c r="B51"/>
  <c r="C51" s="1"/>
  <c r="B91"/>
  <c r="C91" s="1"/>
  <c r="B135"/>
  <c r="C135" s="1"/>
  <c r="B178"/>
  <c r="C178" s="1"/>
  <c r="B258"/>
  <c r="C258" s="1"/>
  <c r="B259"/>
  <c r="B74"/>
  <c r="B114"/>
  <c r="B158"/>
  <c r="C158" s="1"/>
  <c r="B230"/>
  <c r="C230" s="1"/>
  <c r="B231"/>
  <c r="C231" s="1"/>
  <c r="B41"/>
  <c r="B85"/>
  <c r="B125"/>
  <c r="B169"/>
  <c r="B187"/>
  <c r="C187" s="1"/>
  <c r="B36"/>
  <c r="C36" s="1"/>
  <c r="B80"/>
  <c r="C80" s="1"/>
  <c r="B124"/>
  <c r="C124" s="1"/>
  <c r="B164"/>
  <c r="C164" s="1"/>
  <c r="B254"/>
  <c r="C254" s="1"/>
  <c r="B43"/>
  <c r="B87"/>
  <c r="B131"/>
  <c r="B171"/>
  <c r="C171" s="1"/>
  <c r="B257"/>
  <c r="C257" s="1"/>
  <c r="B244"/>
  <c r="B66"/>
  <c r="B110"/>
  <c r="C110" s="1"/>
  <c r="B154"/>
  <c r="B214"/>
  <c r="B216"/>
  <c r="B37"/>
  <c r="C37" s="1"/>
  <c r="B77"/>
  <c r="C77" s="1"/>
  <c r="B121"/>
  <c r="C121" s="1"/>
  <c r="B165"/>
  <c r="C165" s="1"/>
  <c r="B249"/>
  <c r="C249" s="1"/>
  <c r="B252"/>
  <c r="B76"/>
  <c r="B116"/>
  <c r="B160"/>
  <c r="C160" s="1"/>
  <c r="B238"/>
  <c r="C238" s="1"/>
  <c r="B39"/>
  <c r="C39" s="1"/>
  <c r="B83"/>
  <c r="B123"/>
  <c r="B167"/>
  <c r="B242"/>
  <c r="B228"/>
  <c r="B62"/>
  <c r="C62" s="1"/>
  <c r="B106"/>
  <c r="C106" s="1"/>
  <c r="B146"/>
  <c r="C146" s="1"/>
  <c r="B213"/>
  <c r="C213" s="1"/>
  <c r="B215"/>
  <c r="C215" s="1"/>
  <c r="B29"/>
  <c r="B73"/>
  <c r="B117"/>
  <c r="B157"/>
  <c r="C157" s="1"/>
  <c r="B234"/>
  <c r="C234" s="1"/>
  <c r="B251"/>
  <c r="C251" s="1"/>
  <c r="B68"/>
  <c r="B112"/>
  <c r="B156"/>
  <c r="C156" s="1"/>
  <c r="B237"/>
  <c r="B35"/>
  <c r="B75"/>
  <c r="C75" s="1"/>
  <c r="B119"/>
  <c r="C119" s="1"/>
  <c r="B163"/>
  <c r="C163" s="1"/>
  <c r="B226"/>
  <c r="B227"/>
  <c r="C227" s="1"/>
  <c r="B58"/>
  <c r="B98"/>
  <c r="B142"/>
  <c r="B198"/>
  <c r="C198" s="1"/>
  <c r="B199"/>
  <c r="B25"/>
  <c r="C25" s="1"/>
  <c r="B69"/>
  <c r="C69" s="1"/>
  <c r="B109"/>
  <c r="B153"/>
  <c r="C153" s="1"/>
  <c r="B233"/>
  <c r="B235"/>
  <c r="B64"/>
  <c r="C64" s="1"/>
  <c r="B108"/>
  <c r="B148"/>
  <c r="C148" s="1"/>
  <c r="B206"/>
  <c r="B27"/>
  <c r="B71"/>
  <c r="B115"/>
  <c r="B155"/>
  <c r="B225"/>
  <c r="B212"/>
  <c r="C212" s="1"/>
  <c r="B50"/>
  <c r="C50" s="1"/>
  <c r="B94"/>
  <c r="C94" s="1"/>
  <c r="B138"/>
  <c r="C138" s="1"/>
  <c r="B182"/>
  <c r="B184"/>
  <c r="B21"/>
  <c r="B61"/>
  <c r="B105"/>
  <c r="C105" s="1"/>
  <c r="B149"/>
  <c r="B217"/>
  <c r="B220"/>
  <c r="B60"/>
  <c r="C60" s="1"/>
  <c r="B100"/>
  <c r="B144"/>
  <c r="B205"/>
  <c r="C205" s="1"/>
  <c r="B67"/>
  <c r="C67" s="1"/>
  <c r="B107"/>
  <c r="C107" s="1"/>
  <c r="B151"/>
  <c r="C151" s="1"/>
  <c r="B210"/>
  <c r="C210" s="1"/>
  <c r="B196"/>
  <c r="C196" s="1"/>
  <c r="B46"/>
  <c r="B90"/>
  <c r="B130"/>
  <c r="C130" s="1"/>
  <c r="B181"/>
  <c r="C181" s="1"/>
  <c r="B183"/>
  <c r="C183" s="1"/>
  <c r="H6"/>
  <c r="E260" s="1"/>
  <c r="B57"/>
  <c r="B101"/>
  <c r="C101" s="1"/>
  <c r="B141"/>
  <c r="B202"/>
  <c r="B219"/>
  <c r="C219" s="1"/>
  <c r="B52"/>
  <c r="C52" s="1"/>
  <c r="B96"/>
  <c r="C96" s="1"/>
  <c r="B140"/>
  <c r="C140" s="1"/>
  <c r="B190"/>
  <c r="C190" s="1"/>
  <c r="B59"/>
  <c r="C59" s="1"/>
  <c r="B103"/>
  <c r="B147"/>
  <c r="B194"/>
  <c r="B195"/>
  <c r="C195" s="1"/>
  <c r="B42"/>
  <c r="C42" s="1"/>
  <c r="B82"/>
  <c r="C82" s="1"/>
  <c r="B126"/>
  <c r="C126" s="1"/>
  <c r="B170"/>
  <c r="C170" s="1"/>
  <c r="B246"/>
  <c r="B248"/>
  <c r="B53"/>
  <c r="C53" s="1"/>
  <c r="B93"/>
  <c r="C93" s="1"/>
  <c r="B137"/>
  <c r="C137" s="1"/>
  <c r="B201"/>
  <c r="C201" s="1"/>
  <c r="B203"/>
  <c r="C203" s="1"/>
  <c r="B48"/>
  <c r="C48" s="1"/>
  <c r="B92"/>
  <c r="C92" s="1"/>
  <c r="B132"/>
  <c r="B174"/>
  <c r="C174" s="1"/>
  <c r="B55"/>
  <c r="C55" s="1"/>
  <c r="B99"/>
  <c r="C99" s="1"/>
  <c r="B139"/>
  <c r="C139" s="1"/>
  <c r="B193"/>
  <c r="C193" s="1"/>
  <c r="B180"/>
  <c r="C180" s="1"/>
  <c r="B260"/>
  <c r="B78"/>
  <c r="B122"/>
  <c r="C122" s="1"/>
  <c r="B162"/>
  <c r="C162" s="1"/>
  <c r="B245"/>
  <c r="C245" s="1"/>
  <c r="B247"/>
  <c r="E247" s="1"/>
  <c r="B45"/>
  <c r="C45" s="1"/>
  <c r="B89"/>
  <c r="C89" s="1"/>
  <c r="B133"/>
  <c r="B185"/>
  <c r="C185" s="1"/>
  <c r="B188"/>
  <c r="C188" s="1"/>
  <c r="B44"/>
  <c r="C44" s="1"/>
  <c r="B84"/>
  <c r="C84" s="1"/>
  <c r="B128"/>
  <c r="E128" s="1"/>
  <c r="C27"/>
  <c r="C19"/>
  <c r="C115"/>
  <c r="C21"/>
  <c r="C117"/>
  <c r="B20"/>
  <c r="B32"/>
  <c r="B18"/>
  <c r="B22"/>
  <c r="B28"/>
  <c r="B47"/>
  <c r="B79"/>
  <c r="B111"/>
  <c r="B143"/>
  <c r="B177"/>
  <c r="B241"/>
  <c r="B211"/>
  <c r="B38"/>
  <c r="B70"/>
  <c r="B102"/>
  <c r="B134"/>
  <c r="B166"/>
  <c r="B229"/>
  <c r="B200"/>
  <c r="B17"/>
  <c r="B49"/>
  <c r="B81"/>
  <c r="B113"/>
  <c r="B145"/>
  <c r="B186"/>
  <c r="B250"/>
  <c r="B236"/>
  <c r="B56"/>
  <c r="B88"/>
  <c r="B120"/>
  <c r="B152"/>
  <c r="B189"/>
  <c r="B253"/>
  <c r="B223"/>
  <c r="B272"/>
  <c r="B304"/>
  <c r="B336"/>
  <c r="B368"/>
  <c r="B283"/>
  <c r="B315"/>
  <c r="B347"/>
  <c r="B262"/>
  <c r="B294"/>
  <c r="B326"/>
  <c r="B358"/>
  <c r="B277"/>
  <c r="B309"/>
  <c r="B341"/>
  <c r="B373"/>
  <c r="C43"/>
  <c r="C141"/>
  <c r="C235"/>
  <c r="C116"/>
  <c r="B208"/>
  <c r="B268"/>
  <c r="B300"/>
  <c r="B332"/>
  <c r="B364"/>
  <c r="B279"/>
  <c r="B311"/>
  <c r="B343"/>
  <c r="B375"/>
  <c r="B290"/>
  <c r="B322"/>
  <c r="B354"/>
  <c r="B273"/>
  <c r="B305"/>
  <c r="B337"/>
  <c r="B369"/>
  <c r="C98"/>
  <c r="C248"/>
  <c r="C73"/>
  <c r="C169"/>
  <c r="C144"/>
  <c r="C173"/>
  <c r="C237"/>
  <c r="B207"/>
  <c r="B264"/>
  <c r="B296"/>
  <c r="B328"/>
  <c r="B360"/>
  <c r="B275"/>
  <c r="B307"/>
  <c r="B339"/>
  <c r="B371"/>
  <c r="B286"/>
  <c r="B318"/>
  <c r="B350"/>
  <c r="B269"/>
  <c r="B301"/>
  <c r="B333"/>
  <c r="B365"/>
  <c r="C87"/>
  <c r="C34"/>
  <c r="C103"/>
  <c r="C225"/>
  <c r="C131"/>
  <c r="C90"/>
  <c r="C133"/>
  <c r="C233"/>
  <c r="B172"/>
  <c r="B192"/>
  <c r="B256"/>
  <c r="B324"/>
  <c r="B356"/>
  <c r="B271"/>
  <c r="B303"/>
  <c r="B335"/>
  <c r="B367"/>
  <c r="B282"/>
  <c r="B314"/>
  <c r="B346"/>
  <c r="B265"/>
  <c r="B297"/>
  <c r="B329"/>
  <c r="B361"/>
  <c r="C23"/>
  <c r="C26"/>
  <c r="C260"/>
  <c r="C214"/>
  <c r="C71"/>
  <c r="C167"/>
  <c r="C259"/>
  <c r="C184"/>
  <c r="C35"/>
  <c r="C58"/>
  <c r="C154"/>
  <c r="C76"/>
  <c r="B222"/>
  <c r="B292"/>
  <c r="B24"/>
  <c r="B31"/>
  <c r="B63"/>
  <c r="B95"/>
  <c r="B127"/>
  <c r="B159"/>
  <c r="B209"/>
  <c r="B179"/>
  <c r="B243"/>
  <c r="B54"/>
  <c r="B86"/>
  <c r="B118"/>
  <c r="B150"/>
  <c r="B197"/>
  <c r="B261"/>
  <c r="B232"/>
  <c r="B33"/>
  <c r="B65"/>
  <c r="B97"/>
  <c r="B129"/>
  <c r="B161"/>
  <c r="B218"/>
  <c r="B204"/>
  <c r="B40"/>
  <c r="B72"/>
  <c r="B104"/>
  <c r="B136"/>
  <c r="B168"/>
  <c r="B221"/>
  <c r="B191"/>
  <c r="B255"/>
  <c r="B288"/>
  <c r="B320"/>
  <c r="B352"/>
  <c r="B267"/>
  <c r="B299"/>
  <c r="B331"/>
  <c r="B363"/>
  <c r="B278"/>
  <c r="B310"/>
  <c r="B342"/>
  <c r="B374"/>
  <c r="B293"/>
  <c r="B325"/>
  <c r="B357"/>
  <c r="C155"/>
  <c r="C194"/>
  <c r="C228"/>
  <c r="C114"/>
  <c r="C246"/>
  <c r="C29"/>
  <c r="C125"/>
  <c r="C217"/>
  <c r="C100"/>
  <c r="C132"/>
  <c r="B176"/>
  <c r="B240"/>
  <c r="B284"/>
  <c r="B316"/>
  <c r="B348"/>
  <c r="B263"/>
  <c r="B295"/>
  <c r="B327"/>
  <c r="B359"/>
  <c r="B274"/>
  <c r="B306"/>
  <c r="B338"/>
  <c r="B370"/>
  <c r="B289"/>
  <c r="B321"/>
  <c r="B353"/>
  <c r="C46"/>
  <c r="C78"/>
  <c r="E142"/>
  <c r="C142"/>
  <c r="C216"/>
  <c r="C202"/>
  <c r="C252"/>
  <c r="B175"/>
  <c r="B239"/>
  <c r="B280"/>
  <c r="B312"/>
  <c r="B344"/>
  <c r="B376"/>
  <c r="B291"/>
  <c r="B323"/>
  <c r="B355"/>
  <c r="B270"/>
  <c r="B302"/>
  <c r="B334"/>
  <c r="B366"/>
  <c r="B285"/>
  <c r="B317"/>
  <c r="B349"/>
  <c r="C147"/>
  <c r="C242"/>
  <c r="C74"/>
  <c r="B224"/>
  <c r="B276"/>
  <c r="B308"/>
  <c r="B340"/>
  <c r="B372"/>
  <c r="B287"/>
  <c r="B319"/>
  <c r="B351"/>
  <c r="B266"/>
  <c r="B298"/>
  <c r="B330"/>
  <c r="B362"/>
  <c r="B281"/>
  <c r="B313"/>
  <c r="B345"/>
  <c r="E151" l="1"/>
  <c r="E132"/>
  <c r="E74"/>
  <c r="E61"/>
  <c r="E108"/>
  <c r="E199"/>
  <c r="E51"/>
  <c r="C61"/>
  <c r="C199"/>
  <c r="E230"/>
  <c r="C108"/>
  <c r="E182"/>
  <c r="C182"/>
  <c r="E165"/>
  <c r="E69"/>
  <c r="E213"/>
  <c r="E50"/>
  <c r="E34"/>
  <c r="E43"/>
  <c r="E235"/>
  <c r="E149"/>
  <c r="E163"/>
  <c r="E244"/>
  <c r="E174"/>
  <c r="E217"/>
  <c r="E206"/>
  <c r="E226"/>
  <c r="E68"/>
  <c r="E83"/>
  <c r="E66"/>
  <c r="E41"/>
  <c r="C244"/>
  <c r="C149"/>
  <c r="E144"/>
  <c r="E52"/>
  <c r="E178"/>
  <c r="E147"/>
  <c r="E252"/>
  <c r="E46"/>
  <c r="E59"/>
  <c r="E146"/>
  <c r="E78"/>
  <c r="E100"/>
  <c r="E157"/>
  <c r="E29"/>
  <c r="E228"/>
  <c r="E140"/>
  <c r="E101"/>
  <c r="E99"/>
  <c r="E167"/>
  <c r="E139"/>
  <c r="E44"/>
  <c r="C247"/>
  <c r="E210"/>
  <c r="E130"/>
  <c r="E237"/>
  <c r="E158"/>
  <c r="E185"/>
  <c r="E162"/>
  <c r="E117"/>
  <c r="E138"/>
  <c r="E115"/>
  <c r="Q75" i="5"/>
  <c r="E245" i="6"/>
  <c r="E205"/>
  <c r="E242"/>
  <c r="E64"/>
  <c r="E153"/>
  <c r="E216"/>
  <c r="E91"/>
  <c r="E154"/>
  <c r="E259"/>
  <c r="E62"/>
  <c r="E48"/>
  <c r="E105"/>
  <c r="E39"/>
  <c r="E119"/>
  <c r="E116"/>
  <c r="E60"/>
  <c r="E202"/>
  <c r="E25"/>
  <c r="E193"/>
  <c r="E155"/>
  <c r="E87"/>
  <c r="E80"/>
  <c r="E148"/>
  <c r="E92"/>
  <c r="E201"/>
  <c r="E190"/>
  <c r="E57"/>
  <c r="E220"/>
  <c r="E96"/>
  <c r="E82"/>
  <c r="E219"/>
  <c r="E183"/>
  <c r="E248"/>
  <c r="E135"/>
  <c r="E75"/>
  <c r="C128"/>
  <c r="E257"/>
  <c r="E164"/>
  <c r="E184"/>
  <c r="E23"/>
  <c r="C41"/>
  <c r="E195"/>
  <c r="C226"/>
  <c r="E21"/>
  <c r="E212"/>
  <c r="E55"/>
  <c r="E36"/>
  <c r="E90"/>
  <c r="E137"/>
  <c r="C83"/>
  <c r="E181"/>
  <c r="E93"/>
  <c r="E246"/>
  <c r="E180"/>
  <c r="E214"/>
  <c r="E133"/>
  <c r="E188"/>
  <c r="E89"/>
  <c r="C206"/>
  <c r="C68"/>
  <c r="E231"/>
  <c r="E114"/>
  <c r="E194"/>
  <c r="E58"/>
  <c r="E71"/>
  <c r="E26"/>
  <c r="E233"/>
  <c r="E67"/>
  <c r="E103"/>
  <c r="E107"/>
  <c r="E169"/>
  <c r="E77"/>
  <c r="E171"/>
  <c r="E124"/>
  <c r="E42"/>
  <c r="E19"/>
  <c r="E76"/>
  <c r="E37"/>
  <c r="E35"/>
  <c r="E198"/>
  <c r="E225"/>
  <c r="E173"/>
  <c r="E94"/>
  <c r="E98"/>
  <c r="C66"/>
  <c r="E251"/>
  <c r="E53"/>
  <c r="E106"/>
  <c r="E125"/>
  <c r="E160"/>
  <c r="E121"/>
  <c r="E122"/>
  <c r="E131"/>
  <c r="E196"/>
  <c r="E234"/>
  <c r="E73"/>
  <c r="E238"/>
  <c r="E84"/>
  <c r="E141"/>
  <c r="E156"/>
  <c r="D30" i="5"/>
  <c r="E27" i="6"/>
  <c r="E109"/>
  <c r="E112"/>
  <c r="E123"/>
  <c r="E254"/>
  <c r="E85"/>
  <c r="E258"/>
  <c r="E45"/>
  <c r="E187"/>
  <c r="C112"/>
  <c r="E30"/>
  <c r="E249"/>
  <c r="E110"/>
  <c r="E170"/>
  <c r="E126"/>
  <c r="C220"/>
  <c r="C109"/>
  <c r="C123"/>
  <c r="E227"/>
  <c r="C85"/>
  <c r="C57"/>
  <c r="E203"/>
  <c r="E215"/>
  <c r="E239"/>
  <c r="C239"/>
  <c r="C313"/>
  <c r="E313"/>
  <c r="C334"/>
  <c r="E334"/>
  <c r="E312"/>
  <c r="C312"/>
  <c r="C345"/>
  <c r="E345"/>
  <c r="C319"/>
  <c r="E319"/>
  <c r="C366"/>
  <c r="E366"/>
  <c r="E344"/>
  <c r="C344"/>
  <c r="C289"/>
  <c r="E289"/>
  <c r="E263"/>
  <c r="C263"/>
  <c r="C325"/>
  <c r="E325"/>
  <c r="C299"/>
  <c r="E299"/>
  <c r="C168"/>
  <c r="E168"/>
  <c r="C129"/>
  <c r="E129"/>
  <c r="E118"/>
  <c r="C118"/>
  <c r="C95"/>
  <c r="E95"/>
  <c r="C297"/>
  <c r="E297"/>
  <c r="C271"/>
  <c r="E271"/>
  <c r="C318"/>
  <c r="E318"/>
  <c r="E296"/>
  <c r="C296"/>
  <c r="C322"/>
  <c r="E322"/>
  <c r="E300"/>
  <c r="C300"/>
  <c r="C309"/>
  <c r="E309"/>
  <c r="C283"/>
  <c r="E283"/>
  <c r="C152"/>
  <c r="E152"/>
  <c r="C113"/>
  <c r="E113"/>
  <c r="E102"/>
  <c r="C102"/>
  <c r="C79"/>
  <c r="E79"/>
  <c r="C362"/>
  <c r="E362"/>
  <c r="C351"/>
  <c r="E351"/>
  <c r="C285"/>
  <c r="E285"/>
  <c r="E376"/>
  <c r="C376"/>
  <c r="C321"/>
  <c r="E321"/>
  <c r="C295"/>
  <c r="E295"/>
  <c r="C357"/>
  <c r="E357"/>
  <c r="C331"/>
  <c r="E331"/>
  <c r="E221"/>
  <c r="C221"/>
  <c r="C161"/>
  <c r="E161"/>
  <c r="E150"/>
  <c r="C150"/>
  <c r="C127"/>
  <c r="E127"/>
  <c r="C329"/>
  <c r="E329"/>
  <c r="C303"/>
  <c r="E303"/>
  <c r="C350"/>
  <c r="E350"/>
  <c r="E328"/>
  <c r="C328"/>
  <c r="C354"/>
  <c r="E354"/>
  <c r="E332"/>
  <c r="C332"/>
  <c r="C341"/>
  <c r="E341"/>
  <c r="C315"/>
  <c r="E315"/>
  <c r="E189"/>
  <c r="C189"/>
  <c r="C145"/>
  <c r="E145"/>
  <c r="E134"/>
  <c r="C134"/>
  <c r="C111"/>
  <c r="E111"/>
  <c r="C270"/>
  <c r="E270"/>
  <c r="C266"/>
  <c r="E266"/>
  <c r="C317"/>
  <c r="E317"/>
  <c r="C291"/>
  <c r="E291"/>
  <c r="C353"/>
  <c r="E353"/>
  <c r="C327"/>
  <c r="E327"/>
  <c r="C363"/>
  <c r="E363"/>
  <c r="E191"/>
  <c r="C191"/>
  <c r="C218"/>
  <c r="E218"/>
  <c r="E197"/>
  <c r="C197"/>
  <c r="C159"/>
  <c r="E159"/>
  <c r="C361"/>
  <c r="E361"/>
  <c r="C335"/>
  <c r="E335"/>
  <c r="C269"/>
  <c r="E269"/>
  <c r="E360"/>
  <c r="C360"/>
  <c r="C273"/>
  <c r="E273"/>
  <c r="E364"/>
  <c r="C364"/>
  <c r="C373"/>
  <c r="E373"/>
  <c r="C347"/>
  <c r="E347"/>
  <c r="E253"/>
  <c r="C253"/>
  <c r="C186"/>
  <c r="E186"/>
  <c r="E166"/>
  <c r="C166"/>
  <c r="C143"/>
  <c r="E143"/>
  <c r="E20"/>
  <c r="C20"/>
  <c r="C224"/>
  <c r="E224"/>
  <c r="E276"/>
  <c r="C276"/>
  <c r="C349"/>
  <c r="E349"/>
  <c r="C359"/>
  <c r="E359"/>
  <c r="C176"/>
  <c r="E176"/>
  <c r="C278"/>
  <c r="E278"/>
  <c r="E255"/>
  <c r="C255"/>
  <c r="C204"/>
  <c r="E204"/>
  <c r="E261"/>
  <c r="C261"/>
  <c r="E209"/>
  <c r="C209"/>
  <c r="C222"/>
  <c r="E222"/>
  <c r="C367"/>
  <c r="E367"/>
  <c r="C172"/>
  <c r="E172"/>
  <c r="C301"/>
  <c r="E301"/>
  <c r="C275"/>
  <c r="E275"/>
  <c r="C305"/>
  <c r="E305"/>
  <c r="C279"/>
  <c r="E279"/>
  <c r="C262"/>
  <c r="E262"/>
  <c r="E223"/>
  <c r="C223"/>
  <c r="C250"/>
  <c r="E250"/>
  <c r="E229"/>
  <c r="C229"/>
  <c r="E177"/>
  <c r="C177"/>
  <c r="E32"/>
  <c r="C32"/>
  <c r="C298"/>
  <c r="E298"/>
  <c r="C323"/>
  <c r="E323"/>
  <c r="C330"/>
  <c r="E330"/>
  <c r="E308"/>
  <c r="C308"/>
  <c r="C355"/>
  <c r="E355"/>
  <c r="E175"/>
  <c r="C175"/>
  <c r="C274"/>
  <c r="E274"/>
  <c r="C240"/>
  <c r="E240"/>
  <c r="C310"/>
  <c r="E310"/>
  <c r="E288"/>
  <c r="C288"/>
  <c r="E40"/>
  <c r="C40"/>
  <c r="C232"/>
  <c r="E232"/>
  <c r="E179"/>
  <c r="C179"/>
  <c r="E292"/>
  <c r="C292"/>
  <c r="C282"/>
  <c r="E282"/>
  <c r="C192"/>
  <c r="E192"/>
  <c r="C333"/>
  <c r="E333"/>
  <c r="C307"/>
  <c r="E307"/>
  <c r="C337"/>
  <c r="E337"/>
  <c r="C311"/>
  <c r="E311"/>
  <c r="C294"/>
  <c r="E294"/>
  <c r="E272"/>
  <c r="C272"/>
  <c r="C236"/>
  <c r="E236"/>
  <c r="C200"/>
  <c r="E200"/>
  <c r="E241"/>
  <c r="C241"/>
  <c r="C18"/>
  <c r="E18"/>
  <c r="C306"/>
  <c r="E306"/>
  <c r="E284"/>
  <c r="C284"/>
  <c r="C342"/>
  <c r="E342"/>
  <c r="E320"/>
  <c r="C320"/>
  <c r="C72"/>
  <c r="E72"/>
  <c r="C33"/>
  <c r="E33"/>
  <c r="E243"/>
  <c r="C243"/>
  <c r="E24"/>
  <c r="C24"/>
  <c r="C314"/>
  <c r="E314"/>
  <c r="C256"/>
  <c r="E256"/>
  <c r="C365"/>
  <c r="E365"/>
  <c r="C339"/>
  <c r="E339"/>
  <c r="C369"/>
  <c r="E369"/>
  <c r="C343"/>
  <c r="E343"/>
  <c r="C326"/>
  <c r="E326"/>
  <c r="E304"/>
  <c r="C304"/>
  <c r="C56"/>
  <c r="E56"/>
  <c r="C17"/>
  <c r="D17"/>
  <c r="I17" s="1"/>
  <c r="K17" s="1"/>
  <c r="E17"/>
  <c r="E211"/>
  <c r="C211"/>
  <c r="C22"/>
  <c r="E22"/>
  <c r="E340"/>
  <c r="C340"/>
  <c r="C281"/>
  <c r="E281"/>
  <c r="C302"/>
  <c r="E302"/>
  <c r="E280"/>
  <c r="C280"/>
  <c r="C338"/>
  <c r="E338"/>
  <c r="E316"/>
  <c r="C316"/>
  <c r="C374"/>
  <c r="E374"/>
  <c r="E352"/>
  <c r="C352"/>
  <c r="C104"/>
  <c r="E104"/>
  <c r="C65"/>
  <c r="E65"/>
  <c r="C54"/>
  <c r="E54"/>
  <c r="C31"/>
  <c r="E31"/>
  <c r="C346"/>
  <c r="E346"/>
  <c r="E324"/>
  <c r="C324"/>
  <c r="C371"/>
  <c r="E371"/>
  <c r="E207"/>
  <c r="C207"/>
  <c r="C375"/>
  <c r="E375"/>
  <c r="C208"/>
  <c r="E208"/>
  <c r="C358"/>
  <c r="E358"/>
  <c r="E336"/>
  <c r="C336"/>
  <c r="C88"/>
  <c r="E88"/>
  <c r="C49"/>
  <c r="E49"/>
  <c r="E38"/>
  <c r="C38"/>
  <c r="E28"/>
  <c r="C28"/>
  <c r="E372"/>
  <c r="C372"/>
  <c r="C287"/>
  <c r="E287"/>
  <c r="C370"/>
  <c r="E370"/>
  <c r="E348"/>
  <c r="C348"/>
  <c r="C293"/>
  <c r="E293"/>
  <c r="E267"/>
  <c r="C267"/>
  <c r="C136"/>
  <c r="E136"/>
  <c r="C97"/>
  <c r="E97"/>
  <c r="E86"/>
  <c r="C86"/>
  <c r="E63"/>
  <c r="C63"/>
  <c r="E265"/>
  <c r="C265"/>
  <c r="E356"/>
  <c r="C356"/>
  <c r="C286"/>
  <c r="E286"/>
  <c r="C264"/>
  <c r="E264"/>
  <c r="C290"/>
  <c r="E290"/>
  <c r="E268"/>
  <c r="C268"/>
  <c r="C277"/>
  <c r="E277"/>
  <c r="E368"/>
  <c r="C368"/>
  <c r="C120"/>
  <c r="E120"/>
  <c r="C81"/>
  <c r="E81"/>
  <c r="E70"/>
  <c r="C70"/>
  <c r="C47"/>
  <c r="E47"/>
  <c r="Q87" i="5" l="1"/>
  <c r="D31"/>
  <c r="F17" i="6"/>
  <c r="G17" s="1"/>
  <c r="H17" s="1"/>
  <c r="K5" s="1"/>
  <c r="K6"/>
  <c r="Q99" i="5" l="1"/>
  <c r="D32"/>
  <c r="J17" i="6"/>
  <c r="K12"/>
  <c r="E16" i="5" s="1"/>
  <c r="T16" l="1"/>
  <c r="R16"/>
  <c r="Q111"/>
  <c r="F16"/>
  <c r="D33"/>
  <c r="D18" i="6"/>
  <c r="Q123" i="5" l="1"/>
  <c r="N16"/>
  <c r="P16" s="1"/>
  <c r="S16" s="1"/>
  <c r="H16"/>
  <c r="J16" s="1"/>
  <c r="D34"/>
  <c r="I18" i="6"/>
  <c r="F18"/>
  <c r="Q135" i="5" l="1"/>
  <c r="D35"/>
  <c r="K18" i="6"/>
  <c r="G18"/>
  <c r="H18" s="1"/>
  <c r="J18" s="1"/>
  <c r="Q147" i="5" l="1"/>
  <c r="D36"/>
  <c r="D19" i="6"/>
  <c r="Q159" i="5" l="1"/>
  <c r="D37"/>
  <c r="I19" i="6"/>
  <c r="F19"/>
  <c r="Q171" i="5" l="1"/>
  <c r="D38"/>
  <c r="K19" i="6"/>
  <c r="G19"/>
  <c r="H19" s="1"/>
  <c r="J19" s="1"/>
  <c r="Q183" i="5" l="1"/>
  <c r="D39"/>
  <c r="D20" i="6"/>
  <c r="Q195" i="5" l="1"/>
  <c r="D40"/>
  <c r="F20" i="6"/>
  <c r="I20"/>
  <c r="Q207" i="5" l="1"/>
  <c r="D41"/>
  <c r="K20" i="6"/>
  <c r="G20"/>
  <c r="H20" s="1"/>
  <c r="J20" s="1"/>
  <c r="Q219" i="5" l="1"/>
  <c r="D42"/>
  <c r="D21" i="6"/>
  <c r="Q231" i="5" l="1"/>
  <c r="D43"/>
  <c r="I21" i="6"/>
  <c r="K21" s="1"/>
  <c r="F21"/>
  <c r="Q243" i="5" l="1"/>
  <c r="D44"/>
  <c r="G21" i="6"/>
  <c r="H21" s="1"/>
  <c r="J21" s="1"/>
  <c r="Q255" i="5" l="1"/>
  <c r="D45"/>
  <c r="D22" i="6"/>
  <c r="Q267" i="5" l="1"/>
  <c r="D46"/>
  <c r="F22" i="6"/>
  <c r="I22"/>
  <c r="K22" s="1"/>
  <c r="Q279" i="5" l="1"/>
  <c r="D47"/>
  <c r="G22" i="6"/>
  <c r="H22" s="1"/>
  <c r="J22" s="1"/>
  <c r="D23" s="1"/>
  <c r="Q291" i="5" l="1"/>
  <c r="D48"/>
  <c r="F23" i="6"/>
  <c r="I23"/>
  <c r="K23" s="1"/>
  <c r="Q303" i="5" l="1"/>
  <c r="D49"/>
  <c r="G23" i="6"/>
  <c r="H23" s="1"/>
  <c r="J23" s="1"/>
  <c r="D24" s="1"/>
  <c r="Q315" i="5" l="1"/>
  <c r="D50"/>
  <c r="F24" i="6"/>
  <c r="G24" s="1"/>
  <c r="I24"/>
  <c r="K24" s="1"/>
  <c r="Q327" i="5" l="1"/>
  <c r="H24" i="6"/>
  <c r="J24" s="1"/>
  <c r="D25" s="1"/>
  <c r="I25" s="1"/>
  <c r="K25" s="1"/>
  <c r="D51" i="5"/>
  <c r="Q339" l="1"/>
  <c r="F25" i="6"/>
  <c r="G25" s="1"/>
  <c r="H25" s="1"/>
  <c r="J25" s="1"/>
  <c r="D26" s="1"/>
  <c r="D52" i="5"/>
  <c r="Q351" l="1"/>
  <c r="D53"/>
  <c r="F26" i="6"/>
  <c r="G26" s="1"/>
  <c r="H26" s="1"/>
  <c r="J26" s="1"/>
  <c r="D27" s="1"/>
  <c r="I26"/>
  <c r="K26" s="1"/>
  <c r="Q363" i="5" l="1"/>
  <c r="D54"/>
  <c r="F27" i="6"/>
  <c r="G27" s="1"/>
  <c r="I27"/>
  <c r="K27" s="1"/>
  <c r="Q375" i="5" l="1"/>
  <c r="D55"/>
  <c r="H27" i="6"/>
  <c r="J27" s="1"/>
  <c r="D28" s="1"/>
  <c r="F28" s="1"/>
  <c r="D56" i="5" l="1"/>
  <c r="I28" i="6"/>
  <c r="K28" s="1"/>
  <c r="G28"/>
  <c r="D57" i="5" l="1"/>
  <c r="H28" i="6"/>
  <c r="J28" s="1"/>
  <c r="T27" i="5" s="1"/>
  <c r="D29" i="6" l="1"/>
  <c r="F29" s="1"/>
  <c r="G29" s="1"/>
  <c r="R27" i="5"/>
  <c r="D58"/>
  <c r="I29" i="6" l="1"/>
  <c r="K29" s="1"/>
  <c r="D59" i="5"/>
  <c r="H29" i="6" l="1"/>
  <c r="J29" s="1"/>
  <c r="D30" s="1"/>
  <c r="I30" s="1"/>
  <c r="K30" s="1"/>
  <c r="D60" i="5"/>
  <c r="F30" i="6" l="1"/>
  <c r="G30" s="1"/>
  <c r="H30" s="1"/>
  <c r="J30" s="1"/>
  <c r="D31" s="1"/>
  <c r="I31" s="1"/>
  <c r="K31" s="1"/>
  <c r="D61" i="5"/>
  <c r="F31" i="6" l="1"/>
  <c r="G31" s="1"/>
  <c r="H31" s="1"/>
  <c r="J31" s="1"/>
  <c r="D32" s="1"/>
  <c r="F32" s="1"/>
  <c r="G32" s="1"/>
  <c r="D62" i="5"/>
  <c r="I32" i="6" l="1"/>
  <c r="K32" s="1"/>
  <c r="D63" i="5"/>
  <c r="H32" i="6" l="1"/>
  <c r="J32" s="1"/>
  <c r="D33" s="1"/>
  <c r="F33" s="1"/>
  <c r="G33" s="1"/>
  <c r="D64" i="5"/>
  <c r="I33" i="6" l="1"/>
  <c r="K33" s="1"/>
  <c r="D65" i="5"/>
  <c r="H33" i="6" l="1"/>
  <c r="J33" s="1"/>
  <c r="D34" s="1"/>
  <c r="F34" s="1"/>
  <c r="G34" s="1"/>
  <c r="D66" i="5"/>
  <c r="I34" i="6" l="1"/>
  <c r="K34" s="1"/>
  <c r="D67" i="5"/>
  <c r="H34" i="6" l="1"/>
  <c r="J34" s="1"/>
  <c r="D35" s="1"/>
  <c r="D68" i="5"/>
  <c r="I35" i="6" l="1"/>
  <c r="K35" s="1"/>
  <c r="F35"/>
  <c r="G35" s="1"/>
  <c r="D69" i="5"/>
  <c r="H35" i="6" l="1"/>
  <c r="J35" s="1"/>
  <c r="D36" s="1"/>
  <c r="D70" i="5"/>
  <c r="F36" i="6" l="1"/>
  <c r="G36" s="1"/>
  <c r="H36" s="1"/>
  <c r="J36" s="1"/>
  <c r="D37" s="1"/>
  <c r="I36"/>
  <c r="K36" s="1"/>
  <c r="D71" i="5"/>
  <c r="F37" i="6" l="1"/>
  <c r="G37" s="1"/>
  <c r="H37" s="1"/>
  <c r="J37" s="1"/>
  <c r="D38" s="1"/>
  <c r="F38" s="1"/>
  <c r="I37"/>
  <c r="K37" s="1"/>
  <c r="D72" i="5"/>
  <c r="I38" i="6" l="1"/>
  <c r="K38" s="1"/>
  <c r="D73" i="5"/>
  <c r="G38" i="6"/>
  <c r="H38" l="1"/>
  <c r="J38" s="1"/>
  <c r="D39" s="1"/>
  <c r="I39" s="1"/>
  <c r="K39" s="1"/>
  <c r="D74" i="5"/>
  <c r="F39" i="6" l="1"/>
  <c r="G39" s="1"/>
  <c r="H39" s="1"/>
  <c r="J39" s="1"/>
  <c r="D40" s="1"/>
  <c r="D75" i="5"/>
  <c r="D76" l="1"/>
  <c r="F40" i="6"/>
  <c r="I40"/>
  <c r="K40" s="1"/>
  <c r="D77" i="5" l="1"/>
  <c r="G40" i="6"/>
  <c r="H40" s="1"/>
  <c r="J40" s="1"/>
  <c r="D41" l="1"/>
  <c r="F41" s="1"/>
  <c r="R39" i="5"/>
  <c r="D78"/>
  <c r="I41" i="6" l="1"/>
  <c r="K41" s="1"/>
  <c r="D79" i="5"/>
  <c r="G41" i="6"/>
  <c r="H41" l="1"/>
  <c r="J41" s="1"/>
  <c r="D42" s="1"/>
  <c r="I42" s="1"/>
  <c r="K42" s="1"/>
  <c r="D80" i="5"/>
  <c r="F42" i="6" l="1"/>
  <c r="G42" s="1"/>
  <c r="H42" s="1"/>
  <c r="J42" s="1"/>
  <c r="D43" s="1"/>
  <c r="D81" i="5"/>
  <c r="D82" l="1"/>
  <c r="I43" i="6"/>
  <c r="K43" s="1"/>
  <c r="F43"/>
  <c r="D83" i="5" l="1"/>
  <c r="G43" i="6"/>
  <c r="H43" s="1"/>
  <c r="J43" s="1"/>
  <c r="D44" s="1"/>
  <c r="D84" i="5" l="1"/>
  <c r="I44" i="6"/>
  <c r="K44" s="1"/>
  <c r="F44"/>
  <c r="D85" i="5" l="1"/>
  <c r="G44" i="6"/>
  <c r="H44" s="1"/>
  <c r="J44" s="1"/>
  <c r="D45" s="1"/>
  <c r="D86" i="5" l="1"/>
  <c r="I45" i="6"/>
  <c r="K45" s="1"/>
  <c r="F45"/>
  <c r="D87" i="5" l="1"/>
  <c r="G45" i="6"/>
  <c r="H45" s="1"/>
  <c r="J45" s="1"/>
  <c r="D46" s="1"/>
  <c r="D88" i="5" l="1"/>
  <c r="I46" i="6"/>
  <c r="K46" s="1"/>
  <c r="F46"/>
  <c r="D89" i="5" l="1"/>
  <c r="G46" i="6"/>
  <c r="H46" s="1"/>
  <c r="J46" s="1"/>
  <c r="D47" s="1"/>
  <c r="D90" i="5" l="1"/>
  <c r="I47" i="6"/>
  <c r="K47" s="1"/>
  <c r="F47"/>
  <c r="D91" i="5" l="1"/>
  <c r="G47" i="6"/>
  <c r="H47" s="1"/>
  <c r="J47" s="1"/>
  <c r="D48" s="1"/>
  <c r="D92" i="5" l="1"/>
  <c r="F48" i="6"/>
  <c r="I48"/>
  <c r="K48" s="1"/>
  <c r="D93" i="5" l="1"/>
  <c r="G48" i="6"/>
  <c r="H48" s="1"/>
  <c r="J48" s="1"/>
  <c r="D49" s="1"/>
  <c r="D94" i="5" l="1"/>
  <c r="I49" i="6"/>
  <c r="K49" s="1"/>
  <c r="F49"/>
  <c r="D95" i="5" l="1"/>
  <c r="G49" i="6"/>
  <c r="H49" s="1"/>
  <c r="J49" s="1"/>
  <c r="D50" s="1"/>
  <c r="D96" i="5" l="1"/>
  <c r="I50" i="6"/>
  <c r="K50" s="1"/>
  <c r="F50"/>
  <c r="D97" i="5" l="1"/>
  <c r="G50" i="6"/>
  <c r="H50" s="1"/>
  <c r="J50" s="1"/>
  <c r="D51" s="1"/>
  <c r="D98" i="5" l="1"/>
  <c r="F51" i="6"/>
  <c r="I51"/>
  <c r="K51" s="1"/>
  <c r="D99" i="5" l="1"/>
  <c r="G51" i="6"/>
  <c r="H51" s="1"/>
  <c r="J51" s="1"/>
  <c r="D52" s="1"/>
  <c r="D100" i="5" l="1"/>
  <c r="I52" i="6"/>
  <c r="K52" s="1"/>
  <c r="F52"/>
  <c r="D101" i="5" l="1"/>
  <c r="G52" i="6"/>
  <c r="H52" s="1"/>
  <c r="J52" s="1"/>
  <c r="D53" l="1"/>
  <c r="F53" s="1"/>
  <c r="R51" i="5"/>
  <c r="D102"/>
  <c r="I53" i="6" l="1"/>
  <c r="K53" s="1"/>
  <c r="D103" i="5"/>
  <c r="G53" i="6"/>
  <c r="H53" l="1"/>
  <c r="J53" s="1"/>
  <c r="D54" s="1"/>
  <c r="F54" s="1"/>
  <c r="D104" i="5"/>
  <c r="I54" i="6" l="1"/>
  <c r="K54" s="1"/>
  <c r="D105" i="5"/>
  <c r="G54" i="6"/>
  <c r="H54" l="1"/>
  <c r="J54" s="1"/>
  <c r="D55" s="1"/>
  <c r="F55" s="1"/>
  <c r="D106" i="5"/>
  <c r="I55" i="6" l="1"/>
  <c r="K55" s="1"/>
  <c r="D107" i="5"/>
  <c r="G55" i="6"/>
  <c r="H55" l="1"/>
  <c r="J55" s="1"/>
  <c r="D56" s="1"/>
  <c r="F56" s="1"/>
  <c r="D108" i="5"/>
  <c r="I56" i="6" l="1"/>
  <c r="K56" s="1"/>
  <c r="D109" i="5"/>
  <c r="G56" i="6"/>
  <c r="H56" l="1"/>
  <c r="J56" s="1"/>
  <c r="D57" s="1"/>
  <c r="I57" s="1"/>
  <c r="K57" s="1"/>
  <c r="D110" i="5"/>
  <c r="F57" i="6" l="1"/>
  <c r="G57" s="1"/>
  <c r="H57" s="1"/>
  <c r="J57" s="1"/>
  <c r="D58" s="1"/>
  <c r="D111" i="5"/>
  <c r="D112" l="1"/>
  <c r="I58" i="6"/>
  <c r="K58" s="1"/>
  <c r="F58"/>
  <c r="D113" i="5" l="1"/>
  <c r="G58" i="6"/>
  <c r="H58" s="1"/>
  <c r="J58" s="1"/>
  <c r="D59" s="1"/>
  <c r="D114" i="5" l="1"/>
  <c r="I59" i="6"/>
  <c r="K59" s="1"/>
  <c r="F59"/>
  <c r="D115" i="5" l="1"/>
  <c r="G59" i="6"/>
  <c r="H59" s="1"/>
  <c r="J59" s="1"/>
  <c r="D60" s="1"/>
  <c r="D116" i="5" l="1"/>
  <c r="I60" i="6"/>
  <c r="K60" s="1"/>
  <c r="F60"/>
  <c r="D117" i="5" l="1"/>
  <c r="G60" i="6"/>
  <c r="H60" s="1"/>
  <c r="J60" s="1"/>
  <c r="D61" s="1"/>
  <c r="D118" i="5" l="1"/>
  <c r="I61" i="6"/>
  <c r="K61" s="1"/>
  <c r="F61"/>
  <c r="D119" i="5" l="1"/>
  <c r="G61" i="6"/>
  <c r="H61" s="1"/>
  <c r="J61" s="1"/>
  <c r="D62" s="1"/>
  <c r="D120" i="5" l="1"/>
  <c r="I62" i="6"/>
  <c r="K62" s="1"/>
  <c r="F62"/>
  <c r="D121" i="5" l="1"/>
  <c r="G62" i="6"/>
  <c r="H62" s="1"/>
  <c r="J62" s="1"/>
  <c r="D63" s="1"/>
  <c r="D122" i="5" l="1"/>
  <c r="F63" i="6"/>
  <c r="I63"/>
  <c r="K63" s="1"/>
  <c r="D123" i="5" l="1"/>
  <c r="G63" i="6"/>
  <c r="H63" s="1"/>
  <c r="J63" s="1"/>
  <c r="D64" s="1"/>
  <c r="D124" i="5" l="1"/>
  <c r="I64" i="6"/>
  <c r="K64" s="1"/>
  <c r="F64"/>
  <c r="D125" i="5" l="1"/>
  <c r="G64" i="6"/>
  <c r="H64" s="1"/>
  <c r="J64" s="1"/>
  <c r="D65" l="1"/>
  <c r="F65" s="1"/>
  <c r="R63" i="5"/>
  <c r="D126"/>
  <c r="I65" i="6" l="1"/>
  <c r="K65" s="1"/>
  <c r="D127" i="5"/>
  <c r="G65" i="6"/>
  <c r="H65" l="1"/>
  <c r="J65" s="1"/>
  <c r="D66" s="1"/>
  <c r="F66" s="1"/>
  <c r="D128" i="5"/>
  <c r="I66" i="6" l="1"/>
  <c r="K66" s="1"/>
  <c r="D129" i="5"/>
  <c r="G66" i="6"/>
  <c r="H66" l="1"/>
  <c r="J66" s="1"/>
  <c r="D67" s="1"/>
  <c r="F67" s="1"/>
  <c r="D130" i="5"/>
  <c r="I67" i="6" l="1"/>
  <c r="K67" s="1"/>
  <c r="D131" i="5"/>
  <c r="G67" i="6"/>
  <c r="H67" l="1"/>
  <c r="J67" s="1"/>
  <c r="D68" s="1"/>
  <c r="F68" s="1"/>
  <c r="D132" i="5"/>
  <c r="I68" i="6" l="1"/>
  <c r="K68" s="1"/>
  <c r="D133" i="5"/>
  <c r="G68" i="6"/>
  <c r="H68" l="1"/>
  <c r="J68" s="1"/>
  <c r="D69" s="1"/>
  <c r="F69" s="1"/>
  <c r="D134" i="5"/>
  <c r="I69" i="6" l="1"/>
  <c r="K69" s="1"/>
  <c r="D135" i="5"/>
  <c r="G69" i="6"/>
  <c r="H69" l="1"/>
  <c r="J69" s="1"/>
  <c r="D70" s="1"/>
  <c r="F70" s="1"/>
  <c r="D136" i="5"/>
  <c r="I70" i="6" l="1"/>
  <c r="K70" s="1"/>
  <c r="D137" i="5"/>
  <c r="G70" i="6"/>
  <c r="H70" l="1"/>
  <c r="J70" s="1"/>
  <c r="D71" s="1"/>
  <c r="F71" s="1"/>
  <c r="D138" i="5"/>
  <c r="I71" i="6" l="1"/>
  <c r="K71" s="1"/>
  <c r="D139" i="5"/>
  <c r="G71" i="6"/>
  <c r="H71" l="1"/>
  <c r="J71" s="1"/>
  <c r="D72" s="1"/>
  <c r="F72" s="1"/>
  <c r="D140" i="5"/>
  <c r="I72" i="6" l="1"/>
  <c r="K72" s="1"/>
  <c r="D141" i="5"/>
  <c r="G72" i="6"/>
  <c r="H72" l="1"/>
  <c r="J72" s="1"/>
  <c r="D73" s="1"/>
  <c r="F73" s="1"/>
  <c r="D142" i="5"/>
  <c r="I73" i="6" l="1"/>
  <c r="K73" s="1"/>
  <c r="D143" i="5"/>
  <c r="G73" i="6"/>
  <c r="H73" l="1"/>
  <c r="J73" s="1"/>
  <c r="D74" s="1"/>
  <c r="F74" s="1"/>
  <c r="D144" i="5"/>
  <c r="I74" i="6" l="1"/>
  <c r="K74" s="1"/>
  <c r="D145" i="5"/>
  <c r="G74" i="6"/>
  <c r="H74" l="1"/>
  <c r="J74" s="1"/>
  <c r="D75" s="1"/>
  <c r="F75" s="1"/>
  <c r="D146" i="5"/>
  <c r="I75" i="6" l="1"/>
  <c r="K75" s="1"/>
  <c r="D147" i="5"/>
  <c r="G75" i="6"/>
  <c r="H75" l="1"/>
  <c r="J75" s="1"/>
  <c r="D76" s="1"/>
  <c r="F76" s="1"/>
  <c r="D148" i="5"/>
  <c r="I76" i="6" l="1"/>
  <c r="K76" s="1"/>
  <c r="D149" i="5"/>
  <c r="G76" i="6"/>
  <c r="H76" l="1"/>
  <c r="J76" s="1"/>
  <c r="R75" i="5" s="1"/>
  <c r="D150"/>
  <c r="D77" i="6" l="1"/>
  <c r="F77" s="1"/>
  <c r="G77" s="1"/>
  <c r="D151" i="5"/>
  <c r="I77" i="6" l="1"/>
  <c r="K77" s="1"/>
  <c r="D152" i="5"/>
  <c r="H77" i="6" l="1"/>
  <c r="J77" s="1"/>
  <c r="D78" s="1"/>
  <c r="F78" s="1"/>
  <c r="G78" s="1"/>
  <c r="D153" i="5"/>
  <c r="I78" i="6" l="1"/>
  <c r="K78" s="1"/>
  <c r="D154" i="5"/>
  <c r="H78" i="6" l="1"/>
  <c r="J78" s="1"/>
  <c r="D79" s="1"/>
  <c r="F79" s="1"/>
  <c r="G79" s="1"/>
  <c r="D155" i="5"/>
  <c r="I79" i="6" l="1"/>
  <c r="K79" s="1"/>
  <c r="D156" i="5"/>
  <c r="H79" i="6" l="1"/>
  <c r="J79" s="1"/>
  <c r="D80" s="1"/>
  <c r="F80" s="1"/>
  <c r="G80" s="1"/>
  <c r="D157" i="5"/>
  <c r="I80" i="6" l="1"/>
  <c r="K80" s="1"/>
  <c r="D158" i="5"/>
  <c r="H80" i="6" l="1"/>
  <c r="J80" s="1"/>
  <c r="D81" s="1"/>
  <c r="F81" s="1"/>
  <c r="G81" s="1"/>
  <c r="D159" i="5"/>
  <c r="I81" i="6" l="1"/>
  <c r="K81" s="1"/>
  <c r="D160" i="5"/>
  <c r="H81" i="6" l="1"/>
  <c r="J81" s="1"/>
  <c r="D82" s="1"/>
  <c r="F82" s="1"/>
  <c r="G82" s="1"/>
  <c r="D161" i="5"/>
  <c r="I82" i="6" l="1"/>
  <c r="K82" s="1"/>
  <c r="D162" i="5"/>
  <c r="H82" i="6" l="1"/>
  <c r="J82" s="1"/>
  <c r="D83" s="1"/>
  <c r="F83" s="1"/>
  <c r="G83" s="1"/>
  <c r="D163" i="5"/>
  <c r="I83" i="6" l="1"/>
  <c r="K83" s="1"/>
  <c r="D164" i="5"/>
  <c r="H83" i="6" l="1"/>
  <c r="J83" s="1"/>
  <c r="D84" s="1"/>
  <c r="F84" s="1"/>
  <c r="G84" s="1"/>
  <c r="D165" i="5"/>
  <c r="I84" i="6" l="1"/>
  <c r="K84" s="1"/>
  <c r="D166" i="5"/>
  <c r="H84" i="6" l="1"/>
  <c r="J84" s="1"/>
  <c r="D85" s="1"/>
  <c r="F85" s="1"/>
  <c r="G85" s="1"/>
  <c r="D167" i="5"/>
  <c r="I85" i="6" l="1"/>
  <c r="K85" s="1"/>
  <c r="D168" i="5"/>
  <c r="H85" i="6" l="1"/>
  <c r="J85" s="1"/>
  <c r="D86" s="1"/>
  <c r="F86" s="1"/>
  <c r="G86" s="1"/>
  <c r="D169" i="5"/>
  <c r="I86" i="6" l="1"/>
  <c r="K86" s="1"/>
  <c r="D170" i="5"/>
  <c r="H86" i="6" l="1"/>
  <c r="J86" s="1"/>
  <c r="D87" s="1"/>
  <c r="F87" s="1"/>
  <c r="G87" s="1"/>
  <c r="D171" i="5"/>
  <c r="I87" i="6" l="1"/>
  <c r="K87" s="1"/>
  <c r="D172" i="5"/>
  <c r="H87" i="6" l="1"/>
  <c r="J87" s="1"/>
  <c r="D88" s="1"/>
  <c r="I88" s="1"/>
  <c r="K88" s="1"/>
  <c r="D173" i="5"/>
  <c r="F88" i="6" l="1"/>
  <c r="G88" s="1"/>
  <c r="H88" s="1"/>
  <c r="J88" s="1"/>
  <c r="R87" i="5" s="1"/>
  <c r="D174"/>
  <c r="D89" i="6" l="1"/>
  <c r="F89" s="1"/>
  <c r="G89" s="1"/>
  <c r="D175" i="5"/>
  <c r="I89" i="6" l="1"/>
  <c r="K89" s="1"/>
  <c r="D176" i="5"/>
  <c r="H89" i="6" l="1"/>
  <c r="J89" s="1"/>
  <c r="D90" s="1"/>
  <c r="F90" s="1"/>
  <c r="G90" s="1"/>
  <c r="D177" i="5"/>
  <c r="I90" i="6" l="1"/>
  <c r="K90" s="1"/>
  <c r="D178" i="5"/>
  <c r="H90" i="6" l="1"/>
  <c r="J90" s="1"/>
  <c r="D91" s="1"/>
  <c r="F91" s="1"/>
  <c r="G91" s="1"/>
  <c r="D179" i="5"/>
  <c r="I91" i="6" l="1"/>
  <c r="K91" s="1"/>
  <c r="D180" i="5"/>
  <c r="H91" i="6" l="1"/>
  <c r="J91" s="1"/>
  <c r="D92" s="1"/>
  <c r="F92" s="1"/>
  <c r="G92" s="1"/>
  <c r="D181" i="5"/>
  <c r="I92" i="6" l="1"/>
  <c r="K92" s="1"/>
  <c r="D182" i="5"/>
  <c r="H92" i="6" l="1"/>
  <c r="J92" s="1"/>
  <c r="D93" s="1"/>
  <c r="F93" s="1"/>
  <c r="G93" s="1"/>
  <c r="D183" i="5"/>
  <c r="I93" i="6" l="1"/>
  <c r="K93" s="1"/>
  <c r="D184" i="5"/>
  <c r="H93" i="6" l="1"/>
  <c r="J93" s="1"/>
  <c r="D94" s="1"/>
  <c r="F94" s="1"/>
  <c r="G94" s="1"/>
  <c r="D185" i="5"/>
  <c r="I94" i="6" l="1"/>
  <c r="K94" s="1"/>
  <c r="D186" i="5"/>
  <c r="H94" i="6" l="1"/>
  <c r="J94" s="1"/>
  <c r="D95" s="1"/>
  <c r="F95" s="1"/>
  <c r="G95" s="1"/>
  <c r="D187" i="5"/>
  <c r="I95" i="6" l="1"/>
  <c r="K95" s="1"/>
  <c r="D188" i="5"/>
  <c r="H95" i="6" l="1"/>
  <c r="J95" s="1"/>
  <c r="D96" s="1"/>
  <c r="F96" s="1"/>
  <c r="G96" s="1"/>
  <c r="D189" i="5"/>
  <c r="I96" i="6" l="1"/>
  <c r="K96" s="1"/>
  <c r="D190" i="5"/>
  <c r="H96" i="6" l="1"/>
  <c r="J96" s="1"/>
  <c r="D97" s="1"/>
  <c r="F97" s="1"/>
  <c r="G97" s="1"/>
  <c r="D191" i="5"/>
  <c r="I97" i="6" l="1"/>
  <c r="K97" s="1"/>
  <c r="D192" i="5"/>
  <c r="H97" i="6" l="1"/>
  <c r="J97" s="1"/>
  <c r="D98" s="1"/>
  <c r="F98" s="1"/>
  <c r="G98" s="1"/>
  <c r="D193" i="5"/>
  <c r="I98" i="6" l="1"/>
  <c r="K98" s="1"/>
  <c r="D194" i="5"/>
  <c r="H98" i="6" l="1"/>
  <c r="J98" s="1"/>
  <c r="D99" s="1"/>
  <c r="F99" s="1"/>
  <c r="G99" s="1"/>
  <c r="D195" i="5"/>
  <c r="I99" i="6" l="1"/>
  <c r="K99" s="1"/>
  <c r="D196" i="5"/>
  <c r="H99" i="6" l="1"/>
  <c r="J99" s="1"/>
  <c r="D100" s="1"/>
  <c r="F100" s="1"/>
  <c r="G100" s="1"/>
  <c r="D197" i="5"/>
  <c r="I100" i="6" l="1"/>
  <c r="K100" s="1"/>
  <c r="D198" i="5"/>
  <c r="H100" i="6" l="1"/>
  <c r="J100" s="1"/>
  <c r="R99" i="5" s="1"/>
  <c r="D199"/>
  <c r="D101" i="6" l="1"/>
  <c r="F101" s="1"/>
  <c r="G101" s="1"/>
  <c r="D200" i="5"/>
  <c r="I101" i="6" l="1"/>
  <c r="K101" s="1"/>
  <c r="D201" i="5"/>
  <c r="H101" i="6" l="1"/>
  <c r="J101" s="1"/>
  <c r="D102" s="1"/>
  <c r="F102" s="1"/>
  <c r="G102" s="1"/>
  <c r="D202" i="5"/>
  <c r="I102" i="6" l="1"/>
  <c r="K102" s="1"/>
  <c r="D203" i="5"/>
  <c r="H102" i="6" l="1"/>
  <c r="J102" s="1"/>
  <c r="D103" s="1"/>
  <c r="F103" s="1"/>
  <c r="G103" s="1"/>
  <c r="D204" i="5"/>
  <c r="I103" i="6" l="1"/>
  <c r="K103" s="1"/>
  <c r="D205" i="5"/>
  <c r="H103" i="6" l="1"/>
  <c r="J103" s="1"/>
  <c r="D104" s="1"/>
  <c r="F104" s="1"/>
  <c r="G104" s="1"/>
  <c r="D206" i="5"/>
  <c r="I104" i="6" l="1"/>
  <c r="K104" s="1"/>
  <c r="D207" i="5"/>
  <c r="H104" i="6" l="1"/>
  <c r="J104" s="1"/>
  <c r="D105" s="1"/>
  <c r="F105" s="1"/>
  <c r="G105" s="1"/>
  <c r="D208" i="5"/>
  <c r="I105" i="6" l="1"/>
  <c r="K105" s="1"/>
  <c r="D209" i="5"/>
  <c r="H105" i="6" l="1"/>
  <c r="J105" s="1"/>
  <c r="D106" s="1"/>
  <c r="F106" s="1"/>
  <c r="G106" s="1"/>
  <c r="D210" i="5"/>
  <c r="I106" i="6" l="1"/>
  <c r="K106" s="1"/>
  <c r="D211" i="5"/>
  <c r="H106" i="6" l="1"/>
  <c r="J106" s="1"/>
  <c r="D107" s="1"/>
  <c r="F107" s="1"/>
  <c r="G107" s="1"/>
  <c r="D212" i="5"/>
  <c r="I107" i="6" l="1"/>
  <c r="K107" s="1"/>
  <c r="D213" i="5"/>
  <c r="H107" i="6" l="1"/>
  <c r="J107" s="1"/>
  <c r="D108" s="1"/>
  <c r="F108" s="1"/>
  <c r="G108" s="1"/>
  <c r="D214" i="5"/>
  <c r="I108" i="6" l="1"/>
  <c r="K108" s="1"/>
  <c r="D215" i="5"/>
  <c r="H108" i="6" l="1"/>
  <c r="J108" s="1"/>
  <c r="D109" s="1"/>
  <c r="F109" s="1"/>
  <c r="G109" s="1"/>
  <c r="D216" i="5"/>
  <c r="I109" i="6" l="1"/>
  <c r="K109" s="1"/>
  <c r="D217" i="5"/>
  <c r="H109" i="6" l="1"/>
  <c r="J109" s="1"/>
  <c r="D110" s="1"/>
  <c r="F110" s="1"/>
  <c r="G110" s="1"/>
  <c r="D218" i="5"/>
  <c r="I110" i="6" l="1"/>
  <c r="K110" s="1"/>
  <c r="D219" i="5"/>
  <c r="H110" i="6" l="1"/>
  <c r="J110" s="1"/>
  <c r="D111" s="1"/>
  <c r="F111" s="1"/>
  <c r="G111" s="1"/>
  <c r="D220" i="5"/>
  <c r="I111" i="6" l="1"/>
  <c r="K111" s="1"/>
  <c r="D221" i="5"/>
  <c r="H111" i="6" l="1"/>
  <c r="J111" s="1"/>
  <c r="D112" s="1"/>
  <c r="F112" s="1"/>
  <c r="G112" s="1"/>
  <c r="D222" i="5"/>
  <c r="I112" i="6" l="1"/>
  <c r="K112" s="1"/>
  <c r="D223" i="5"/>
  <c r="H112" i="6" l="1"/>
  <c r="J112" s="1"/>
  <c r="R111" i="5" s="1"/>
  <c r="D224"/>
  <c r="D113" i="6" l="1"/>
  <c r="I113" s="1"/>
  <c r="K113" s="1"/>
  <c r="D225" i="5"/>
  <c r="F113" i="6" l="1"/>
  <c r="G113" s="1"/>
  <c r="H113" s="1"/>
  <c r="J113" s="1"/>
  <c r="D114" s="1"/>
  <c r="F114" s="1"/>
  <c r="G114" s="1"/>
  <c r="D226" i="5"/>
  <c r="I114" i="6" l="1"/>
  <c r="K114" s="1"/>
  <c r="D227" i="5"/>
  <c r="H114" i="6" l="1"/>
  <c r="J114" s="1"/>
  <c r="D115" s="1"/>
  <c r="F115" s="1"/>
  <c r="G115" s="1"/>
  <c r="D228" i="5"/>
  <c r="I115" i="6" l="1"/>
  <c r="K115" s="1"/>
  <c r="D229" i="5"/>
  <c r="H115" i="6" l="1"/>
  <c r="J115" s="1"/>
  <c r="D116" s="1"/>
  <c r="F116" s="1"/>
  <c r="G116" s="1"/>
  <c r="D230" i="5"/>
  <c r="I116" i="6" l="1"/>
  <c r="K116" s="1"/>
  <c r="D231" i="5"/>
  <c r="H116" i="6" l="1"/>
  <c r="J116" s="1"/>
  <c r="D117" s="1"/>
  <c r="I117" s="1"/>
  <c r="K117" s="1"/>
  <c r="D232" i="5"/>
  <c r="F117" i="6" l="1"/>
  <c r="G117" s="1"/>
  <c r="H117" s="1"/>
  <c r="J117" s="1"/>
  <c r="D118" s="1"/>
  <c r="F118" s="1"/>
  <c r="G118" s="1"/>
  <c r="D233" i="5"/>
  <c r="I118" i="6" l="1"/>
  <c r="K118" s="1"/>
  <c r="D234" i="5"/>
  <c r="H118" i="6" l="1"/>
  <c r="J118" s="1"/>
  <c r="D119" s="1"/>
  <c r="F119" s="1"/>
  <c r="G119" s="1"/>
  <c r="D235" i="5"/>
  <c r="I119" i="6" l="1"/>
  <c r="K119" s="1"/>
  <c r="D236" i="5"/>
  <c r="H119" i="6" l="1"/>
  <c r="J119" s="1"/>
  <c r="D120" s="1"/>
  <c r="F120" s="1"/>
  <c r="G120" s="1"/>
  <c r="D237" i="5"/>
  <c r="I120" i="6" l="1"/>
  <c r="K120" s="1"/>
  <c r="D238" i="5"/>
  <c r="H120" i="6" l="1"/>
  <c r="J120" s="1"/>
  <c r="D121" s="1"/>
  <c r="F121" s="1"/>
  <c r="G121" s="1"/>
  <c r="D239" i="5"/>
  <c r="I121" i="6" l="1"/>
  <c r="K121" s="1"/>
  <c r="D240" i="5"/>
  <c r="H121" i="6" l="1"/>
  <c r="J121" s="1"/>
  <c r="D122" s="1"/>
  <c r="F122" s="1"/>
  <c r="G122" s="1"/>
  <c r="D241" i="5"/>
  <c r="I122" i="6" l="1"/>
  <c r="K122" s="1"/>
  <c r="D242" i="5"/>
  <c r="H122" i="6" l="1"/>
  <c r="J122" s="1"/>
  <c r="D123" s="1"/>
  <c r="F123" s="1"/>
  <c r="G123" s="1"/>
  <c r="D243" i="5"/>
  <c r="I123" i="6" l="1"/>
  <c r="K123" s="1"/>
  <c r="D244" i="5"/>
  <c r="H123" i="6" l="1"/>
  <c r="J123" s="1"/>
  <c r="D124" s="1"/>
  <c r="F124" s="1"/>
  <c r="G124" s="1"/>
  <c r="D245" i="5"/>
  <c r="I124" i="6" l="1"/>
  <c r="K124" s="1"/>
  <c r="D246" i="5"/>
  <c r="H124" i="6" l="1"/>
  <c r="J124" s="1"/>
  <c r="R123" i="5" s="1"/>
  <c r="D247"/>
  <c r="D125" i="6" l="1"/>
  <c r="F125" s="1"/>
  <c r="G125" s="1"/>
  <c r="D248" i="5"/>
  <c r="I125" i="6" l="1"/>
  <c r="K125" s="1"/>
  <c r="D249" i="5"/>
  <c r="H125" i="6" l="1"/>
  <c r="J125" s="1"/>
  <c r="D126" s="1"/>
  <c r="F126" s="1"/>
  <c r="G126" s="1"/>
  <c r="D250" i="5"/>
  <c r="I126" i="6" l="1"/>
  <c r="K126" s="1"/>
  <c r="D251" i="5"/>
  <c r="H126" i="6" l="1"/>
  <c r="J126" s="1"/>
  <c r="D127" s="1"/>
  <c r="F127" s="1"/>
  <c r="G127" s="1"/>
  <c r="D252" i="5"/>
  <c r="I127" i="6" l="1"/>
  <c r="K127" s="1"/>
  <c r="D253" i="5"/>
  <c r="H127" i="6" l="1"/>
  <c r="J127" s="1"/>
  <c r="D128" s="1"/>
  <c r="F128" s="1"/>
  <c r="G128" s="1"/>
  <c r="D254" i="5"/>
  <c r="I128" i="6" l="1"/>
  <c r="K128" s="1"/>
  <c r="D255" i="5"/>
  <c r="H128" i="6" l="1"/>
  <c r="J128" s="1"/>
  <c r="D129" s="1"/>
  <c r="F129" s="1"/>
  <c r="G129" s="1"/>
  <c r="D256" i="5"/>
  <c r="I129" i="6" l="1"/>
  <c r="K129" s="1"/>
  <c r="D257" i="5"/>
  <c r="H129" i="6" l="1"/>
  <c r="J129" s="1"/>
  <c r="D130" s="1"/>
  <c r="F130" s="1"/>
  <c r="G130" s="1"/>
  <c r="D258" i="5"/>
  <c r="I130" i="6" l="1"/>
  <c r="K130" s="1"/>
  <c r="D259" i="5"/>
  <c r="H130" i="6" l="1"/>
  <c r="J130" s="1"/>
  <c r="D131" s="1"/>
  <c r="F131" s="1"/>
  <c r="G131" s="1"/>
  <c r="D260" i="5"/>
  <c r="I131" i="6" l="1"/>
  <c r="K131" s="1"/>
  <c r="D261" i="5"/>
  <c r="H131" i="6" l="1"/>
  <c r="J131" s="1"/>
  <c r="D132" s="1"/>
  <c r="F132" s="1"/>
  <c r="G132" s="1"/>
  <c r="D262" i="5"/>
  <c r="I132" i="6" l="1"/>
  <c r="K132" s="1"/>
  <c r="D263" i="5"/>
  <c r="H132" i="6" l="1"/>
  <c r="J132" s="1"/>
  <c r="D133" s="1"/>
  <c r="F133" s="1"/>
  <c r="G133" s="1"/>
  <c r="D264" i="5"/>
  <c r="I133" i="6" l="1"/>
  <c r="K133" s="1"/>
  <c r="D265" i="5"/>
  <c r="H133" i="6" l="1"/>
  <c r="J133" s="1"/>
  <c r="D134" s="1"/>
  <c r="F134" s="1"/>
  <c r="G134" s="1"/>
  <c r="D266" i="5"/>
  <c r="I134" i="6" l="1"/>
  <c r="K134" s="1"/>
  <c r="D267" i="5"/>
  <c r="H134" i="6" l="1"/>
  <c r="J134" s="1"/>
  <c r="D135" s="1"/>
  <c r="F135" s="1"/>
  <c r="G135" s="1"/>
  <c r="D268" i="5"/>
  <c r="I135" i="6" l="1"/>
  <c r="K135" s="1"/>
  <c r="D269" i="5"/>
  <c r="H135" i="6" l="1"/>
  <c r="J135" s="1"/>
  <c r="D136" s="1"/>
  <c r="I136" s="1"/>
  <c r="K136" s="1"/>
  <c r="D270" i="5"/>
  <c r="F136" i="6" l="1"/>
  <c r="G136" s="1"/>
  <c r="H136" s="1"/>
  <c r="J136" s="1"/>
  <c r="R135" i="5" s="1"/>
  <c r="D271"/>
  <c r="D137" i="6" l="1"/>
  <c r="F137" s="1"/>
  <c r="G137" s="1"/>
  <c r="D272" i="5"/>
  <c r="I137" i="6" l="1"/>
  <c r="K137" s="1"/>
  <c r="D273" i="5"/>
  <c r="H137" i="6" l="1"/>
  <c r="J137" s="1"/>
  <c r="D138" s="1"/>
  <c r="F138" s="1"/>
  <c r="G138" s="1"/>
  <c r="D274" i="5"/>
  <c r="I138" i="6" l="1"/>
  <c r="K138" s="1"/>
  <c r="D275" i="5"/>
  <c r="H138" i="6" l="1"/>
  <c r="J138" s="1"/>
  <c r="D139" s="1"/>
  <c r="F139" s="1"/>
  <c r="G139" s="1"/>
  <c r="D276" i="5"/>
  <c r="I139" i="6" l="1"/>
  <c r="K139" s="1"/>
  <c r="D277" i="5"/>
  <c r="H139" i="6" l="1"/>
  <c r="J139" s="1"/>
  <c r="D140" s="1"/>
  <c r="F140" s="1"/>
  <c r="G140" s="1"/>
  <c r="D278" i="5"/>
  <c r="I140" i="6" l="1"/>
  <c r="K140" s="1"/>
  <c r="D279" i="5"/>
  <c r="H140" i="6" l="1"/>
  <c r="J140" s="1"/>
  <c r="D141" s="1"/>
  <c r="D280" i="5"/>
  <c r="F141" i="6" l="1"/>
  <c r="G141" s="1"/>
  <c r="H141" s="1"/>
  <c r="J141" s="1"/>
  <c r="D142" s="1"/>
  <c r="F142" s="1"/>
  <c r="G142" s="1"/>
  <c r="I141"/>
  <c r="K141" s="1"/>
  <c r="D281" i="5"/>
  <c r="I142" i="6" l="1"/>
  <c r="K142" s="1"/>
  <c r="D282" i="5"/>
  <c r="H142" i="6" l="1"/>
  <c r="J142" s="1"/>
  <c r="D143" s="1"/>
  <c r="I143" s="1"/>
  <c r="K143" s="1"/>
  <c r="D283" i="5"/>
  <c r="F143" i="6" l="1"/>
  <c r="G143" s="1"/>
  <c r="H143" s="1"/>
  <c r="J143" s="1"/>
  <c r="D144" s="1"/>
  <c r="F144" s="1"/>
  <c r="D284" i="5"/>
  <c r="I144" i="6" l="1"/>
  <c r="K144" s="1"/>
  <c r="D285" i="5"/>
  <c r="G144" i="6"/>
  <c r="H144" l="1"/>
  <c r="J144" s="1"/>
  <c r="D145" s="1"/>
  <c r="F145" s="1"/>
  <c r="D286" i="5"/>
  <c r="I145" i="6" l="1"/>
  <c r="K145" s="1"/>
  <c r="D287" i="5"/>
  <c r="G145" i="6"/>
  <c r="H145" l="1"/>
  <c r="J145" s="1"/>
  <c r="D146" s="1"/>
  <c r="F146" s="1"/>
  <c r="D288" i="5"/>
  <c r="I146" i="6" l="1"/>
  <c r="K146" s="1"/>
  <c r="D289" i="5"/>
  <c r="G146" i="6"/>
  <c r="H146" l="1"/>
  <c r="J146" s="1"/>
  <c r="D147" s="1"/>
  <c r="F147" s="1"/>
  <c r="D290" i="5"/>
  <c r="I147" i="6" l="1"/>
  <c r="K147" s="1"/>
  <c r="D291" i="5"/>
  <c r="G147" i="6"/>
  <c r="H147" l="1"/>
  <c r="J147" s="1"/>
  <c r="D148" s="1"/>
  <c r="F148" s="1"/>
  <c r="D292" i="5"/>
  <c r="I148" i="6" l="1"/>
  <c r="K148" s="1"/>
  <c r="D293" i="5"/>
  <c r="G148" i="6"/>
  <c r="H148" l="1"/>
  <c r="J148" s="1"/>
  <c r="R147" i="5" s="1"/>
  <c r="D294"/>
  <c r="D149" i="6" l="1"/>
  <c r="F149" s="1"/>
  <c r="G149" s="1"/>
  <c r="D295" i="5"/>
  <c r="I149" i="6" l="1"/>
  <c r="K149" s="1"/>
  <c r="D296" i="5"/>
  <c r="H149" i="6" l="1"/>
  <c r="J149" s="1"/>
  <c r="D150" s="1"/>
  <c r="F150" s="1"/>
  <c r="G150" s="1"/>
  <c r="D297" i="5"/>
  <c r="I150" i="6" l="1"/>
  <c r="K150" s="1"/>
  <c r="D298" i="5"/>
  <c r="H150" i="6" l="1"/>
  <c r="J150" s="1"/>
  <c r="D151" s="1"/>
  <c r="F151" s="1"/>
  <c r="G151" s="1"/>
  <c r="D299" i="5"/>
  <c r="I151" i="6" l="1"/>
  <c r="K151" s="1"/>
  <c r="D300" i="5"/>
  <c r="H151" i="6" l="1"/>
  <c r="J151" s="1"/>
  <c r="D152" s="1"/>
  <c r="F152" s="1"/>
  <c r="G152" s="1"/>
  <c r="D301" i="5"/>
  <c r="I152" i="6" l="1"/>
  <c r="K152" s="1"/>
  <c r="D302" i="5"/>
  <c r="H152" i="6" l="1"/>
  <c r="J152" s="1"/>
  <c r="D153" s="1"/>
  <c r="F153" s="1"/>
  <c r="G153" s="1"/>
  <c r="D303" i="5"/>
  <c r="I153" i="6" l="1"/>
  <c r="K153" s="1"/>
  <c r="D304" i="5"/>
  <c r="H153" i="6" l="1"/>
  <c r="J153" s="1"/>
  <c r="D154" s="1"/>
  <c r="F154" s="1"/>
  <c r="G154" s="1"/>
  <c r="D305" i="5"/>
  <c r="I154" i="6" l="1"/>
  <c r="K154" s="1"/>
  <c r="D306" i="5"/>
  <c r="H154" i="6" l="1"/>
  <c r="J154" s="1"/>
  <c r="D155" s="1"/>
  <c r="F155" s="1"/>
  <c r="G155" s="1"/>
  <c r="D307" i="5"/>
  <c r="I155" i="6" l="1"/>
  <c r="K155" s="1"/>
  <c r="D308" i="5"/>
  <c r="H155" i="6" l="1"/>
  <c r="J155" s="1"/>
  <c r="D156" s="1"/>
  <c r="F156" s="1"/>
  <c r="G156" s="1"/>
  <c r="D309" i="5"/>
  <c r="I156" i="6" l="1"/>
  <c r="K156" s="1"/>
  <c r="D310" i="5"/>
  <c r="H156" i="6" l="1"/>
  <c r="J156" s="1"/>
  <c r="D157" s="1"/>
  <c r="F157" s="1"/>
  <c r="G157" s="1"/>
  <c r="D311" i="5"/>
  <c r="I157" i="6" l="1"/>
  <c r="K157" s="1"/>
  <c r="D312" i="5"/>
  <c r="H157" i="6" l="1"/>
  <c r="J157" s="1"/>
  <c r="D158" s="1"/>
  <c r="F158" s="1"/>
  <c r="G158" s="1"/>
  <c r="D313" i="5"/>
  <c r="I158" i="6" l="1"/>
  <c r="K158" s="1"/>
  <c r="D314" i="5"/>
  <c r="H158" i="6" l="1"/>
  <c r="J158" s="1"/>
  <c r="D159" s="1"/>
  <c r="F159" s="1"/>
  <c r="G159" s="1"/>
  <c r="D315" i="5"/>
  <c r="I159" i="6" l="1"/>
  <c r="K159" s="1"/>
  <c r="D316" i="5"/>
  <c r="H159" i="6" l="1"/>
  <c r="J159" s="1"/>
  <c r="D160" s="1"/>
  <c r="F160" s="1"/>
  <c r="G160" s="1"/>
  <c r="D317" i="5"/>
  <c r="I160" i="6" l="1"/>
  <c r="K160" s="1"/>
  <c r="D318" i="5"/>
  <c r="H160" i="6" l="1"/>
  <c r="J160" s="1"/>
  <c r="R159" i="5" s="1"/>
  <c r="D319"/>
  <c r="D161" i="6" l="1"/>
  <c r="I161" s="1"/>
  <c r="K161" s="1"/>
  <c r="D320" i="5"/>
  <c r="F161" i="6" l="1"/>
  <c r="G161" s="1"/>
  <c r="H161" s="1"/>
  <c r="J161" s="1"/>
  <c r="D162" s="1"/>
  <c r="F162" s="1"/>
  <c r="G162" s="1"/>
  <c r="D321" i="5"/>
  <c r="I162" i="6" l="1"/>
  <c r="K162" s="1"/>
  <c r="D322" i="5"/>
  <c r="H162" i="6" l="1"/>
  <c r="J162" s="1"/>
  <c r="D163" s="1"/>
  <c r="F163" s="1"/>
  <c r="G163" s="1"/>
  <c r="D323" i="5"/>
  <c r="I163" i="6" l="1"/>
  <c r="K163" s="1"/>
  <c r="D324" i="5"/>
  <c r="H163" i="6" l="1"/>
  <c r="J163" s="1"/>
  <c r="D164" s="1"/>
  <c r="I164" s="1"/>
  <c r="K164" s="1"/>
  <c r="D325" i="5"/>
  <c r="F164" i="6" l="1"/>
  <c r="G164" s="1"/>
  <c r="H164" s="1"/>
  <c r="J164" s="1"/>
  <c r="D165" s="1"/>
  <c r="F165" s="1"/>
  <c r="D326" i="5"/>
  <c r="I165" i="6" l="1"/>
  <c r="K165" s="1"/>
  <c r="D327" i="5"/>
  <c r="G165" i="6"/>
  <c r="H165" l="1"/>
  <c r="J165" s="1"/>
  <c r="D166" s="1"/>
  <c r="F166" s="1"/>
  <c r="D328" i="5"/>
  <c r="I166" i="6" l="1"/>
  <c r="K166" s="1"/>
  <c r="D329" i="5"/>
  <c r="G166" i="6"/>
  <c r="H166" l="1"/>
  <c r="J166" s="1"/>
  <c r="D167" s="1"/>
  <c r="I167" s="1"/>
  <c r="K167" s="1"/>
  <c r="D330" i="5"/>
  <c r="F167" i="6" l="1"/>
  <c r="G167" s="1"/>
  <c r="H167" s="1"/>
  <c r="J167" s="1"/>
  <c r="D168" s="1"/>
  <c r="D331" i="5"/>
  <c r="D332" l="1"/>
  <c r="F168" i="6"/>
  <c r="I168"/>
  <c r="K168" s="1"/>
  <c r="D333" i="5" l="1"/>
  <c r="G168" i="6"/>
  <c r="H168" s="1"/>
  <c r="J168" s="1"/>
  <c r="D169" s="1"/>
  <c r="D334" i="5" l="1"/>
  <c r="I169" i="6"/>
  <c r="K169" s="1"/>
  <c r="F169"/>
  <c r="D335" i="5" l="1"/>
  <c r="G169" i="6"/>
  <c r="H169" s="1"/>
  <c r="J169" s="1"/>
  <c r="D170" s="1"/>
  <c r="D336" i="5" l="1"/>
  <c r="I170" i="6"/>
  <c r="K170" s="1"/>
  <c r="F170"/>
  <c r="D337" i="5" l="1"/>
  <c r="G170" i="6"/>
  <c r="H170" s="1"/>
  <c r="J170" s="1"/>
  <c r="D171" s="1"/>
  <c r="D338" i="5" l="1"/>
  <c r="I171" i="6"/>
  <c r="K171" s="1"/>
  <c r="F171"/>
  <c r="D339" i="5" l="1"/>
  <c r="G171" i="6"/>
  <c r="H171" s="1"/>
  <c r="J171" s="1"/>
  <c r="D172" s="1"/>
  <c r="D340" i="5" l="1"/>
  <c r="I172" i="6"/>
  <c r="K172" s="1"/>
  <c r="F172"/>
  <c r="D341" i="5" l="1"/>
  <c r="G172" i="6"/>
  <c r="H172" s="1"/>
  <c r="J172" s="1"/>
  <c r="D173" l="1"/>
  <c r="F173" s="1"/>
  <c r="R171" i="5"/>
  <c r="D342"/>
  <c r="I173" i="6" l="1"/>
  <c r="K173" s="1"/>
  <c r="D343" i="5"/>
  <c r="G173" i="6"/>
  <c r="H173" l="1"/>
  <c r="J173" s="1"/>
  <c r="D174" s="1"/>
  <c r="F174" s="1"/>
  <c r="D344" i="5"/>
  <c r="I174" i="6" l="1"/>
  <c r="K174" s="1"/>
  <c r="D345" i="5"/>
  <c r="G174" i="6"/>
  <c r="H174" l="1"/>
  <c r="J174" s="1"/>
  <c r="D175" s="1"/>
  <c r="F175" s="1"/>
  <c r="D346" i="5"/>
  <c r="I175" i="6" l="1"/>
  <c r="K175" s="1"/>
  <c r="D347" i="5"/>
  <c r="G175" i="6"/>
  <c r="H175" l="1"/>
  <c r="J175" s="1"/>
  <c r="D176" s="1"/>
  <c r="F176" s="1"/>
  <c r="D348" i="5"/>
  <c r="I176" i="6" l="1"/>
  <c r="K176" s="1"/>
  <c r="D349" i="5"/>
  <c r="G176" i="6"/>
  <c r="H176" l="1"/>
  <c r="J176" s="1"/>
  <c r="D177" s="1"/>
  <c r="F177" s="1"/>
  <c r="D350" i="5"/>
  <c r="I177" i="6" l="1"/>
  <c r="K177" s="1"/>
  <c r="D351" i="5"/>
  <c r="G177" i="6"/>
  <c r="H177" l="1"/>
  <c r="J177" s="1"/>
  <c r="D178" s="1"/>
  <c r="F178" s="1"/>
  <c r="D352" i="5"/>
  <c r="I178" i="6" l="1"/>
  <c r="K178" s="1"/>
  <c r="D353" i="5"/>
  <c r="G178" i="6"/>
  <c r="H178" l="1"/>
  <c r="J178" s="1"/>
  <c r="D179" s="1"/>
  <c r="F179" s="1"/>
  <c r="D354" i="5"/>
  <c r="I179" i="6" l="1"/>
  <c r="K179" s="1"/>
  <c r="D355" i="5"/>
  <c r="G179" i="6"/>
  <c r="H179" l="1"/>
  <c r="J179" s="1"/>
  <c r="D180" s="1"/>
  <c r="F180" s="1"/>
  <c r="D356" i="5"/>
  <c r="I180" i="6" l="1"/>
  <c r="K180" s="1"/>
  <c r="D357" i="5"/>
  <c r="G180" i="6"/>
  <c r="H180" l="1"/>
  <c r="J180" s="1"/>
  <c r="D181" s="1"/>
  <c r="I181" s="1"/>
  <c r="K181" s="1"/>
  <c r="D358" i="5"/>
  <c r="F181" i="6" l="1"/>
  <c r="G181" s="1"/>
  <c r="H181" s="1"/>
  <c r="J181" s="1"/>
  <c r="D182" s="1"/>
  <c r="D359" i="5"/>
  <c r="D360" l="1"/>
  <c r="I182" i="6"/>
  <c r="K182" s="1"/>
  <c r="F182"/>
  <c r="D361" i="5" l="1"/>
  <c r="G182" i="6"/>
  <c r="H182" s="1"/>
  <c r="J182" s="1"/>
  <c r="D183" s="1"/>
  <c r="D362" i="5" l="1"/>
  <c r="I183" i="6"/>
  <c r="K183" s="1"/>
  <c r="F183"/>
  <c r="D363" i="5" l="1"/>
  <c r="G183" i="6"/>
  <c r="H183" s="1"/>
  <c r="J183" s="1"/>
  <c r="D184" s="1"/>
  <c r="D364" i="5" l="1"/>
  <c r="I184" i="6"/>
  <c r="K184" s="1"/>
  <c r="F184"/>
  <c r="D365" i="5" l="1"/>
  <c r="G184" i="6"/>
  <c r="H184" s="1"/>
  <c r="J184" s="1"/>
  <c r="D185" l="1"/>
  <c r="F185" s="1"/>
  <c r="R183" i="5"/>
  <c r="D366"/>
  <c r="I185" i="6" l="1"/>
  <c r="K185" s="1"/>
  <c r="D367" i="5"/>
  <c r="G185" i="6"/>
  <c r="H185" l="1"/>
  <c r="J185" s="1"/>
  <c r="D186" s="1"/>
  <c r="F186" s="1"/>
  <c r="D368" i="5"/>
  <c r="I186" i="6" l="1"/>
  <c r="K186" s="1"/>
  <c r="D369" i="5"/>
  <c r="G186" i="6"/>
  <c r="H186" l="1"/>
  <c r="J186" s="1"/>
  <c r="D187" s="1"/>
  <c r="F187" s="1"/>
  <c r="D370" i="5"/>
  <c r="I187" i="6" l="1"/>
  <c r="K187" s="1"/>
  <c r="D371" i="5"/>
  <c r="G187" i="6"/>
  <c r="H187" l="1"/>
  <c r="J187" s="1"/>
  <c r="D188" s="1"/>
  <c r="F188" s="1"/>
  <c r="D372" i="5"/>
  <c r="I188" i="6" l="1"/>
  <c r="K188" s="1"/>
  <c r="D373" i="5"/>
  <c r="G188" i="6"/>
  <c r="H188" l="1"/>
  <c r="J188" s="1"/>
  <c r="D189" s="1"/>
  <c r="F189" s="1"/>
  <c r="D374" i="5"/>
  <c r="I189" i="6" l="1"/>
  <c r="K189" s="1"/>
  <c r="D375" i="5"/>
  <c r="G189" i="6"/>
  <c r="H189" l="1"/>
  <c r="J189" s="1"/>
  <c r="D190" s="1"/>
  <c r="F190" s="1"/>
  <c r="I190" l="1"/>
  <c r="K190" s="1"/>
  <c r="G190"/>
  <c r="H190" l="1"/>
  <c r="J190" s="1"/>
  <c r="D191" s="1"/>
  <c r="F191" s="1"/>
  <c r="I191" l="1"/>
  <c r="K191" s="1"/>
  <c r="G191"/>
  <c r="H191" l="1"/>
  <c r="J191" s="1"/>
  <c r="D192" s="1"/>
  <c r="F192" s="1"/>
  <c r="I192" l="1"/>
  <c r="K192" s="1"/>
  <c r="G192"/>
  <c r="H192" l="1"/>
  <c r="J192" s="1"/>
  <c r="D193" s="1"/>
  <c r="F193" s="1"/>
  <c r="I193" l="1"/>
  <c r="K193" s="1"/>
  <c r="G193"/>
  <c r="H193" l="1"/>
  <c r="J193" s="1"/>
  <c r="D194" s="1"/>
  <c r="F194" s="1"/>
  <c r="I194" l="1"/>
  <c r="K194" s="1"/>
  <c r="G194"/>
  <c r="H194" l="1"/>
  <c r="J194" s="1"/>
  <c r="D195" s="1"/>
  <c r="F195" s="1"/>
  <c r="I195" l="1"/>
  <c r="K195" s="1"/>
  <c r="G195"/>
  <c r="H195" l="1"/>
  <c r="J195" s="1"/>
  <c r="D196" s="1"/>
  <c r="F196" s="1"/>
  <c r="I196" l="1"/>
  <c r="K196" s="1"/>
  <c r="G196"/>
  <c r="H196" l="1"/>
  <c r="J196" s="1"/>
  <c r="R195" i="5" s="1"/>
  <c r="D197" i="6" l="1"/>
  <c r="F197" s="1"/>
  <c r="G197" s="1"/>
  <c r="I197" l="1"/>
  <c r="K197" s="1"/>
  <c r="H197" l="1"/>
  <c r="J197" s="1"/>
  <c r="D198" s="1"/>
  <c r="I198" s="1"/>
  <c r="K198" s="1"/>
  <c r="F198" l="1"/>
  <c r="G198" s="1"/>
  <c r="H198" s="1"/>
  <c r="J198" s="1"/>
  <c r="D199" s="1"/>
  <c r="F199" s="1"/>
  <c r="I199" l="1"/>
  <c r="K199" s="1"/>
  <c r="G199"/>
  <c r="H199" l="1"/>
  <c r="J199" s="1"/>
  <c r="D200" s="1"/>
  <c r="F200" s="1"/>
  <c r="I200" l="1"/>
  <c r="K200" s="1"/>
  <c r="G200"/>
  <c r="H200" l="1"/>
  <c r="J200" s="1"/>
  <c r="D201" s="1"/>
  <c r="F201" s="1"/>
  <c r="I201" l="1"/>
  <c r="K201" s="1"/>
  <c r="G201"/>
  <c r="H201" l="1"/>
  <c r="J201" s="1"/>
  <c r="D202" s="1"/>
  <c r="F202" s="1"/>
  <c r="I202" l="1"/>
  <c r="K202" s="1"/>
  <c r="G202"/>
  <c r="H202" l="1"/>
  <c r="J202" s="1"/>
  <c r="D203" s="1"/>
  <c r="F203" s="1"/>
  <c r="I203" l="1"/>
  <c r="K203" s="1"/>
  <c r="G203"/>
  <c r="H203" l="1"/>
  <c r="J203" s="1"/>
  <c r="D204" s="1"/>
  <c r="F204" s="1"/>
  <c r="I204" l="1"/>
  <c r="K204" s="1"/>
  <c r="G204"/>
  <c r="H204" l="1"/>
  <c r="J204" s="1"/>
  <c r="D205" s="1"/>
  <c r="F205" s="1"/>
  <c r="I205" l="1"/>
  <c r="K205" s="1"/>
  <c r="G205"/>
  <c r="H205" l="1"/>
  <c r="J205" s="1"/>
  <c r="D206" s="1"/>
  <c r="I206" s="1"/>
  <c r="K206" s="1"/>
  <c r="F206" l="1"/>
  <c r="G206" s="1"/>
  <c r="H206" s="1"/>
  <c r="J206" s="1"/>
  <c r="D207" s="1"/>
  <c r="I207" l="1"/>
  <c r="K207" s="1"/>
  <c r="F207"/>
  <c r="G207" l="1"/>
  <c r="H207" s="1"/>
  <c r="J207" s="1"/>
  <c r="D208" s="1"/>
  <c r="I208" l="1"/>
  <c r="K208" s="1"/>
  <c r="F208"/>
  <c r="G208" l="1"/>
  <c r="H208" s="1"/>
  <c r="J208" s="1"/>
  <c r="D209" l="1"/>
  <c r="F209" s="1"/>
  <c r="R207" i="5"/>
  <c r="I209" i="6" l="1"/>
  <c r="K209" s="1"/>
  <c r="G209"/>
  <c r="H209" l="1"/>
  <c r="J209" s="1"/>
  <c r="D210" s="1"/>
  <c r="F210" s="1"/>
  <c r="I210" l="1"/>
  <c r="K210" s="1"/>
  <c r="G210"/>
  <c r="H210" l="1"/>
  <c r="J210" s="1"/>
  <c r="D211" s="1"/>
  <c r="F211" s="1"/>
  <c r="I211" l="1"/>
  <c r="K211" s="1"/>
  <c r="G211"/>
  <c r="H211" l="1"/>
  <c r="J211" s="1"/>
  <c r="D212" s="1"/>
  <c r="F212" s="1"/>
  <c r="I212" l="1"/>
  <c r="K212" s="1"/>
  <c r="G212"/>
  <c r="H212" l="1"/>
  <c r="J212" s="1"/>
  <c r="D213" s="1"/>
  <c r="F213" s="1"/>
  <c r="I213" l="1"/>
  <c r="K213" s="1"/>
  <c r="G213"/>
  <c r="H213" l="1"/>
  <c r="J213" s="1"/>
  <c r="D214" s="1"/>
  <c r="F214" s="1"/>
  <c r="I214" l="1"/>
  <c r="K214" s="1"/>
  <c r="G214"/>
  <c r="H214" l="1"/>
  <c r="J214" s="1"/>
  <c r="D215" s="1"/>
  <c r="F215" s="1"/>
  <c r="I215" l="1"/>
  <c r="K215" s="1"/>
  <c r="G215"/>
  <c r="H215" l="1"/>
  <c r="J215" s="1"/>
  <c r="D216" s="1"/>
  <c r="F216" s="1"/>
  <c r="I216" l="1"/>
  <c r="K216" s="1"/>
  <c r="G216"/>
  <c r="H216" l="1"/>
  <c r="J216" s="1"/>
  <c r="D217" s="1"/>
  <c r="F217" s="1"/>
  <c r="I217" l="1"/>
  <c r="K217" s="1"/>
  <c r="G217"/>
  <c r="H217" l="1"/>
  <c r="J217" s="1"/>
  <c r="D218" s="1"/>
  <c r="F218" s="1"/>
  <c r="I218" l="1"/>
  <c r="K218" s="1"/>
  <c r="G218"/>
  <c r="H218" l="1"/>
  <c r="J218" s="1"/>
  <c r="D219" s="1"/>
  <c r="F219" s="1"/>
  <c r="I219" l="1"/>
  <c r="K219" s="1"/>
  <c r="G219"/>
  <c r="H219" l="1"/>
  <c r="J219" s="1"/>
  <c r="D220" s="1"/>
  <c r="F220" s="1"/>
  <c r="I220" l="1"/>
  <c r="K220" s="1"/>
  <c r="G220"/>
  <c r="H220" l="1"/>
  <c r="J220" s="1"/>
  <c r="R219" i="5" s="1"/>
  <c r="D221" i="6" l="1"/>
  <c r="F221" s="1"/>
  <c r="G221" s="1"/>
  <c r="I221" l="1"/>
  <c r="K221" s="1"/>
  <c r="H221" l="1"/>
  <c r="J221" s="1"/>
  <c r="D222" s="1"/>
  <c r="I222" s="1"/>
  <c r="K222" s="1"/>
  <c r="F222" l="1"/>
  <c r="G222" s="1"/>
  <c r="H222" s="1"/>
  <c r="J222" s="1"/>
  <c r="D223" s="1"/>
  <c r="F223" s="1"/>
  <c r="I223" l="1"/>
  <c r="K223" s="1"/>
  <c r="G223"/>
  <c r="H223" l="1"/>
  <c r="J223" s="1"/>
  <c r="D224" s="1"/>
  <c r="F224" s="1"/>
  <c r="I224" l="1"/>
  <c r="K224" s="1"/>
  <c r="G224"/>
  <c r="H224" l="1"/>
  <c r="J224" s="1"/>
  <c r="D225" s="1"/>
  <c r="F225" s="1"/>
  <c r="I225" l="1"/>
  <c r="K225" s="1"/>
  <c r="G225"/>
  <c r="H225" l="1"/>
  <c r="J225" s="1"/>
  <c r="D226" s="1"/>
  <c r="F226" s="1"/>
  <c r="I226" l="1"/>
  <c r="K226" s="1"/>
  <c r="G226"/>
  <c r="H226" l="1"/>
  <c r="J226" s="1"/>
  <c r="D227" s="1"/>
  <c r="F227" s="1"/>
  <c r="I227" l="1"/>
  <c r="K227" s="1"/>
  <c r="G227"/>
  <c r="H227" l="1"/>
  <c r="J227" s="1"/>
  <c r="D228" s="1"/>
  <c r="F228" s="1"/>
  <c r="I228" l="1"/>
  <c r="K228" s="1"/>
  <c r="G228"/>
  <c r="H228" l="1"/>
  <c r="J228" s="1"/>
  <c r="D229" s="1"/>
  <c r="I229" s="1"/>
  <c r="K229" s="1"/>
  <c r="F229" l="1"/>
  <c r="G229" s="1"/>
  <c r="H229" s="1"/>
  <c r="J229" s="1"/>
  <c r="D230" s="1"/>
  <c r="I230" l="1"/>
  <c r="K230" s="1"/>
  <c r="F230"/>
  <c r="G230" l="1"/>
  <c r="H230" s="1"/>
  <c r="J230" s="1"/>
  <c r="D231" s="1"/>
  <c r="I231" l="1"/>
  <c r="K231" s="1"/>
  <c r="F231"/>
  <c r="G231" l="1"/>
  <c r="H231" s="1"/>
  <c r="J231" s="1"/>
  <c r="D232" s="1"/>
  <c r="F232" l="1"/>
  <c r="I232"/>
  <c r="K232" s="1"/>
  <c r="G232" l="1"/>
  <c r="H232" s="1"/>
  <c r="J232" s="1"/>
  <c r="D233" l="1"/>
  <c r="I233" s="1"/>
  <c r="K233" s="1"/>
  <c r="R231" i="5"/>
  <c r="F233" i="6" l="1"/>
  <c r="G233" s="1"/>
  <c r="H233" s="1"/>
  <c r="J233" s="1"/>
  <c r="D234" s="1"/>
  <c r="F234" l="1"/>
  <c r="I234"/>
  <c r="K234" s="1"/>
  <c r="G234" l="1"/>
  <c r="H234" s="1"/>
  <c r="J234" s="1"/>
  <c r="D235" s="1"/>
  <c r="I235" l="1"/>
  <c r="K235" s="1"/>
  <c r="F235"/>
  <c r="G235" l="1"/>
  <c r="H235" s="1"/>
  <c r="J235" s="1"/>
  <c r="D236" s="1"/>
  <c r="I236" l="1"/>
  <c r="K236" s="1"/>
  <c r="F236"/>
  <c r="G236" l="1"/>
  <c r="H236" s="1"/>
  <c r="J236" s="1"/>
  <c r="D237" s="1"/>
  <c r="I237" l="1"/>
  <c r="K237" s="1"/>
  <c r="F237"/>
  <c r="G237" l="1"/>
  <c r="H237" s="1"/>
  <c r="J237" s="1"/>
  <c r="D238" s="1"/>
  <c r="I238" l="1"/>
  <c r="K238" s="1"/>
  <c r="F238"/>
  <c r="G238" l="1"/>
  <c r="H238" s="1"/>
  <c r="J238" s="1"/>
  <c r="D239" s="1"/>
  <c r="I239" l="1"/>
  <c r="K239" s="1"/>
  <c r="F239"/>
  <c r="G239" l="1"/>
  <c r="H239" s="1"/>
  <c r="J239" s="1"/>
  <c r="D240" s="1"/>
  <c r="I240" l="1"/>
  <c r="K240" s="1"/>
  <c r="F240"/>
  <c r="G240" l="1"/>
  <c r="H240" s="1"/>
  <c r="J240" s="1"/>
  <c r="D241" s="1"/>
  <c r="I241" l="1"/>
  <c r="K241" s="1"/>
  <c r="F241"/>
  <c r="G241" l="1"/>
  <c r="H241" s="1"/>
  <c r="J241" s="1"/>
  <c r="D242" s="1"/>
  <c r="I242" l="1"/>
  <c r="K242" s="1"/>
  <c r="F242"/>
  <c r="G242" l="1"/>
  <c r="H242" s="1"/>
  <c r="J242" s="1"/>
  <c r="D243" s="1"/>
  <c r="I243" l="1"/>
  <c r="K243" s="1"/>
  <c r="F243"/>
  <c r="G243" l="1"/>
  <c r="H243" s="1"/>
  <c r="J243" s="1"/>
  <c r="D244" s="1"/>
  <c r="I244" l="1"/>
  <c r="K244" s="1"/>
  <c r="F244"/>
  <c r="G244" l="1"/>
  <c r="H244" s="1"/>
  <c r="J244" s="1"/>
  <c r="D245" l="1"/>
  <c r="F245" s="1"/>
  <c r="R243" i="5"/>
  <c r="I245" i="6" l="1"/>
  <c r="K245" s="1"/>
  <c r="G245"/>
  <c r="H245" l="1"/>
  <c r="J245" s="1"/>
  <c r="D246" s="1"/>
  <c r="I246" s="1"/>
  <c r="K246" s="1"/>
  <c r="F246" l="1"/>
  <c r="G246" s="1"/>
  <c r="H246" s="1"/>
  <c r="J246" s="1"/>
  <c r="D247" s="1"/>
  <c r="I247" l="1"/>
  <c r="K247" s="1"/>
  <c r="F247"/>
  <c r="G247" l="1"/>
  <c r="H247" s="1"/>
  <c r="J247" s="1"/>
  <c r="D248" s="1"/>
  <c r="I248" l="1"/>
  <c r="K248" s="1"/>
  <c r="F248"/>
  <c r="G248" l="1"/>
  <c r="H248" s="1"/>
  <c r="J248" s="1"/>
  <c r="D249" s="1"/>
  <c r="I249" l="1"/>
  <c r="K249" s="1"/>
  <c r="F249"/>
  <c r="G249" l="1"/>
  <c r="H249" s="1"/>
  <c r="J249" s="1"/>
  <c r="D250" s="1"/>
  <c r="I250" l="1"/>
  <c r="K250" s="1"/>
  <c r="F250"/>
  <c r="G250" l="1"/>
  <c r="H250" s="1"/>
  <c r="J250" s="1"/>
  <c r="D251" s="1"/>
  <c r="I251" l="1"/>
  <c r="K251" s="1"/>
  <c r="F251"/>
  <c r="G251" l="1"/>
  <c r="H251" s="1"/>
  <c r="J251" s="1"/>
  <c r="D252" s="1"/>
  <c r="I252" l="1"/>
  <c r="K252" s="1"/>
  <c r="F252"/>
  <c r="G252" l="1"/>
  <c r="H252" s="1"/>
  <c r="J252" s="1"/>
  <c r="D253" s="1"/>
  <c r="F253" l="1"/>
  <c r="I253"/>
  <c r="K253" s="1"/>
  <c r="G253" l="1"/>
  <c r="H253" s="1"/>
  <c r="J253" s="1"/>
  <c r="D254" s="1"/>
  <c r="I254" l="1"/>
  <c r="K254" s="1"/>
  <c r="F254"/>
  <c r="G254" l="1"/>
  <c r="H254" s="1"/>
  <c r="J254" s="1"/>
  <c r="D255" s="1"/>
  <c r="I255" l="1"/>
  <c r="K255" s="1"/>
  <c r="F255"/>
  <c r="G255" l="1"/>
  <c r="H255" s="1"/>
  <c r="J255" s="1"/>
  <c r="D256" s="1"/>
  <c r="I256" l="1"/>
  <c r="K256" s="1"/>
  <c r="F256"/>
  <c r="G256" l="1"/>
  <c r="H256" s="1"/>
  <c r="J256" s="1"/>
  <c r="D257" l="1"/>
  <c r="F257" s="1"/>
  <c r="R255" i="5"/>
  <c r="I257" i="6" l="1"/>
  <c r="K257" s="1"/>
  <c r="G257"/>
  <c r="H257" l="1"/>
  <c r="J257" s="1"/>
  <c r="D258" s="1"/>
  <c r="F258" s="1"/>
  <c r="I258" l="1"/>
  <c r="K258" s="1"/>
  <c r="G258"/>
  <c r="H258" l="1"/>
  <c r="J258" s="1"/>
  <c r="D259" s="1"/>
  <c r="I259" s="1"/>
  <c r="K259" s="1"/>
  <c r="F259" l="1"/>
  <c r="G259" s="1"/>
  <c r="H259" s="1"/>
  <c r="J259" s="1"/>
  <c r="D260" s="1"/>
  <c r="I260" l="1"/>
  <c r="K260" s="1"/>
  <c r="F260"/>
  <c r="G260" l="1"/>
  <c r="H260" s="1"/>
  <c r="J260" s="1"/>
  <c r="D261" s="1"/>
  <c r="I261" l="1"/>
  <c r="K261" s="1"/>
  <c r="F261"/>
  <c r="G261" l="1"/>
  <c r="H261" s="1"/>
  <c r="J261" s="1"/>
  <c r="D262" s="1"/>
  <c r="F262" l="1"/>
  <c r="I262"/>
  <c r="K262" s="1"/>
  <c r="G262" l="1"/>
  <c r="H262" s="1"/>
  <c r="J262" s="1"/>
  <c r="D263" s="1"/>
  <c r="I263" l="1"/>
  <c r="K263" s="1"/>
  <c r="F263"/>
  <c r="G263" l="1"/>
  <c r="H263" s="1"/>
  <c r="J263" s="1"/>
  <c r="D264" s="1"/>
  <c r="F264" l="1"/>
  <c r="I264"/>
  <c r="K264" s="1"/>
  <c r="G264" l="1"/>
  <c r="H264" s="1"/>
  <c r="J264" s="1"/>
  <c r="D265" s="1"/>
  <c r="I265" l="1"/>
  <c r="K265" s="1"/>
  <c r="F265"/>
  <c r="G265" l="1"/>
  <c r="H265" s="1"/>
  <c r="J265" s="1"/>
  <c r="D266" s="1"/>
  <c r="I266" l="1"/>
  <c r="K266" s="1"/>
  <c r="F266"/>
  <c r="G266" l="1"/>
  <c r="H266" s="1"/>
  <c r="J266" s="1"/>
  <c r="D267" s="1"/>
  <c r="I267" l="1"/>
  <c r="K267" s="1"/>
  <c r="F267"/>
  <c r="G267" l="1"/>
  <c r="H267" s="1"/>
  <c r="J267" s="1"/>
  <c r="D268" s="1"/>
  <c r="I268" l="1"/>
  <c r="K268" s="1"/>
  <c r="F268"/>
  <c r="G268" l="1"/>
  <c r="H268" s="1"/>
  <c r="J268" s="1"/>
  <c r="D269" l="1"/>
  <c r="I269" s="1"/>
  <c r="K269" s="1"/>
  <c r="R267" i="5"/>
  <c r="F269" i="6" l="1"/>
  <c r="G269" s="1"/>
  <c r="H269" s="1"/>
  <c r="J269" s="1"/>
  <c r="D270" s="1"/>
  <c r="I270" l="1"/>
  <c r="K270" s="1"/>
  <c r="F270"/>
  <c r="G270" l="1"/>
  <c r="H270" s="1"/>
  <c r="J270" s="1"/>
  <c r="D271" s="1"/>
  <c r="I271" l="1"/>
  <c r="K271" s="1"/>
  <c r="F271"/>
  <c r="G271" l="1"/>
  <c r="H271" s="1"/>
  <c r="J271" s="1"/>
  <c r="D272" s="1"/>
  <c r="I272" l="1"/>
  <c r="K272" s="1"/>
  <c r="F272"/>
  <c r="G272" l="1"/>
  <c r="H272" s="1"/>
  <c r="J272" s="1"/>
  <c r="D273" s="1"/>
  <c r="I273" l="1"/>
  <c r="K273" s="1"/>
  <c r="F273"/>
  <c r="G273" l="1"/>
  <c r="H273" s="1"/>
  <c r="J273" s="1"/>
  <c r="D274" s="1"/>
  <c r="F274" l="1"/>
  <c r="I274"/>
  <c r="K274" s="1"/>
  <c r="G274" l="1"/>
  <c r="H274" s="1"/>
  <c r="J274" s="1"/>
  <c r="D275" s="1"/>
  <c r="I275" l="1"/>
  <c r="K275" s="1"/>
  <c r="F275"/>
  <c r="G275" l="1"/>
  <c r="H275" s="1"/>
  <c r="J275" s="1"/>
  <c r="D276" s="1"/>
  <c r="I276" l="1"/>
  <c r="K276" s="1"/>
  <c r="F276"/>
  <c r="G276" l="1"/>
  <c r="H276" s="1"/>
  <c r="J276" s="1"/>
  <c r="D277" s="1"/>
  <c r="I277" l="1"/>
  <c r="K277" s="1"/>
  <c r="F277"/>
  <c r="G277" l="1"/>
  <c r="H277" s="1"/>
  <c r="J277" s="1"/>
  <c r="D278" s="1"/>
  <c r="I278" l="1"/>
  <c r="K278" s="1"/>
  <c r="F278"/>
  <c r="G278" l="1"/>
  <c r="H278" s="1"/>
  <c r="J278" s="1"/>
  <c r="D279" s="1"/>
  <c r="I279" l="1"/>
  <c r="K279" s="1"/>
  <c r="F279"/>
  <c r="G279" l="1"/>
  <c r="H279" s="1"/>
  <c r="J279" s="1"/>
  <c r="D280" s="1"/>
  <c r="I280" l="1"/>
  <c r="K280" s="1"/>
  <c r="F280"/>
  <c r="G280" l="1"/>
  <c r="H280" s="1"/>
  <c r="J280" s="1"/>
  <c r="D281" l="1"/>
  <c r="F281" s="1"/>
  <c r="R279" i="5"/>
  <c r="I281" i="6" l="1"/>
  <c r="K281" s="1"/>
  <c r="G281"/>
  <c r="H281" l="1"/>
  <c r="J281" s="1"/>
  <c r="D282" s="1"/>
  <c r="I282" s="1"/>
  <c r="K282" s="1"/>
  <c r="F282" l="1"/>
  <c r="G282" s="1"/>
  <c r="H282" s="1"/>
  <c r="J282" s="1"/>
  <c r="D283" s="1"/>
  <c r="I283" l="1"/>
  <c r="K283" s="1"/>
  <c r="F283"/>
  <c r="G283" l="1"/>
  <c r="H283" s="1"/>
  <c r="J283" s="1"/>
  <c r="D284" s="1"/>
  <c r="I284" l="1"/>
  <c r="K284" s="1"/>
  <c r="F284"/>
  <c r="G284" l="1"/>
  <c r="H284" s="1"/>
  <c r="J284" s="1"/>
  <c r="D285" s="1"/>
  <c r="I285" l="1"/>
  <c r="K285" s="1"/>
  <c r="F285"/>
  <c r="G285" l="1"/>
  <c r="H285" s="1"/>
  <c r="J285" s="1"/>
  <c r="D286" s="1"/>
  <c r="I286" l="1"/>
  <c r="K286" s="1"/>
  <c r="F286"/>
  <c r="G286" l="1"/>
  <c r="H286" s="1"/>
  <c r="J286" s="1"/>
  <c r="D287" s="1"/>
  <c r="I287" l="1"/>
  <c r="K287" s="1"/>
  <c r="F287"/>
  <c r="G287" l="1"/>
  <c r="H287" s="1"/>
  <c r="J287" s="1"/>
  <c r="D288" s="1"/>
  <c r="F288" l="1"/>
  <c r="I288"/>
  <c r="K288" s="1"/>
  <c r="G288" l="1"/>
  <c r="H288" s="1"/>
  <c r="J288" s="1"/>
  <c r="D289" s="1"/>
  <c r="I289" l="1"/>
  <c r="K289" s="1"/>
  <c r="F289"/>
  <c r="G289" l="1"/>
  <c r="H289" s="1"/>
  <c r="J289" s="1"/>
  <c r="D290" s="1"/>
  <c r="I290" l="1"/>
  <c r="K290" s="1"/>
  <c r="F290"/>
  <c r="G290" l="1"/>
  <c r="H290" s="1"/>
  <c r="J290" s="1"/>
  <c r="D291" s="1"/>
  <c r="I291" l="1"/>
  <c r="K291" s="1"/>
  <c r="F291"/>
  <c r="G291" l="1"/>
  <c r="H291" s="1"/>
  <c r="J291" s="1"/>
  <c r="D292" s="1"/>
  <c r="I292" l="1"/>
  <c r="K292" s="1"/>
  <c r="F292"/>
  <c r="G292" l="1"/>
  <c r="H292" s="1"/>
  <c r="J292" s="1"/>
  <c r="D293" l="1"/>
  <c r="F293" s="1"/>
  <c r="R291" i="5"/>
  <c r="I293" i="6" l="1"/>
  <c r="K293" s="1"/>
  <c r="G293"/>
  <c r="H293" l="1"/>
  <c r="J293" s="1"/>
  <c r="D294" s="1"/>
  <c r="F294" s="1"/>
  <c r="I294" l="1"/>
  <c r="K294" s="1"/>
  <c r="G294"/>
  <c r="H294" l="1"/>
  <c r="J294" s="1"/>
  <c r="D295" s="1"/>
  <c r="F295" s="1"/>
  <c r="I295" l="1"/>
  <c r="K295" s="1"/>
  <c r="G295"/>
  <c r="H295" l="1"/>
  <c r="J295" s="1"/>
  <c r="D296" s="1"/>
  <c r="F296" s="1"/>
  <c r="I296" l="1"/>
  <c r="K296" s="1"/>
  <c r="G296"/>
  <c r="H296" l="1"/>
  <c r="J296" s="1"/>
  <c r="D297" s="1"/>
  <c r="F297" s="1"/>
  <c r="I297" l="1"/>
  <c r="K297" s="1"/>
  <c r="G297"/>
  <c r="H297" l="1"/>
  <c r="J297" s="1"/>
  <c r="D298" s="1"/>
  <c r="F298" s="1"/>
  <c r="I298" l="1"/>
  <c r="K298" s="1"/>
  <c r="G298"/>
  <c r="H298" l="1"/>
  <c r="J298" s="1"/>
  <c r="D299" s="1"/>
  <c r="F299" s="1"/>
  <c r="I299" l="1"/>
  <c r="K299" s="1"/>
  <c r="G299"/>
  <c r="H299" l="1"/>
  <c r="J299" s="1"/>
  <c r="D300" s="1"/>
  <c r="F300" s="1"/>
  <c r="I300" l="1"/>
  <c r="K300" s="1"/>
  <c r="G300"/>
  <c r="H300" l="1"/>
  <c r="J300" s="1"/>
  <c r="D301" s="1"/>
  <c r="F301" s="1"/>
  <c r="I301" l="1"/>
  <c r="K301" s="1"/>
  <c r="G301"/>
  <c r="H301" l="1"/>
  <c r="J301" s="1"/>
  <c r="D302" s="1"/>
  <c r="F302" s="1"/>
  <c r="I302" l="1"/>
  <c r="K302" s="1"/>
  <c r="G302"/>
  <c r="H302" l="1"/>
  <c r="J302" s="1"/>
  <c r="D303" s="1"/>
  <c r="F303" s="1"/>
  <c r="I303" l="1"/>
  <c r="K303" s="1"/>
  <c r="G303"/>
  <c r="H303" l="1"/>
  <c r="J303" s="1"/>
  <c r="D304" s="1"/>
  <c r="F304" s="1"/>
  <c r="I304" l="1"/>
  <c r="K304" s="1"/>
  <c r="G304"/>
  <c r="H304" l="1"/>
  <c r="J304" s="1"/>
  <c r="R303" i="5" s="1"/>
  <c r="D305" i="6" l="1"/>
  <c r="F305" s="1"/>
  <c r="G305" s="1"/>
  <c r="I305" l="1"/>
  <c r="K305" s="1"/>
  <c r="H305" l="1"/>
  <c r="J305" s="1"/>
  <c r="D306" s="1"/>
  <c r="I306" s="1"/>
  <c r="K306" s="1"/>
  <c r="F306" l="1"/>
  <c r="G306" s="1"/>
  <c r="H306" s="1"/>
  <c r="J306" s="1"/>
  <c r="D307" s="1"/>
  <c r="F307" s="1"/>
  <c r="I307" l="1"/>
  <c r="K307" s="1"/>
  <c r="G307"/>
  <c r="H307" l="1"/>
  <c r="J307" s="1"/>
  <c r="D308" s="1"/>
  <c r="I308" s="1"/>
  <c r="K308" s="1"/>
  <c r="F308" l="1"/>
  <c r="G308" s="1"/>
  <c r="H308" s="1"/>
  <c r="J308" s="1"/>
  <c r="D309" s="1"/>
  <c r="I309" l="1"/>
  <c r="K309" s="1"/>
  <c r="F309"/>
  <c r="G309" l="1"/>
  <c r="H309" s="1"/>
  <c r="J309" s="1"/>
  <c r="D310" s="1"/>
  <c r="I310" l="1"/>
  <c r="K310" s="1"/>
  <c r="F310"/>
  <c r="G310" l="1"/>
  <c r="H310" s="1"/>
  <c r="J310" s="1"/>
  <c r="D311" s="1"/>
  <c r="I311" l="1"/>
  <c r="K311" s="1"/>
  <c r="F311"/>
  <c r="G311" l="1"/>
  <c r="H311" s="1"/>
  <c r="J311" s="1"/>
  <c r="D312" s="1"/>
  <c r="I312" l="1"/>
  <c r="K312" s="1"/>
  <c r="F312"/>
  <c r="G312" l="1"/>
  <c r="H312" s="1"/>
  <c r="J312" s="1"/>
  <c r="D313" s="1"/>
  <c r="I313" l="1"/>
  <c r="K313" s="1"/>
  <c r="F313"/>
  <c r="G313" l="1"/>
  <c r="H313" s="1"/>
  <c r="J313" s="1"/>
  <c r="D314" s="1"/>
  <c r="F314" l="1"/>
  <c r="I314"/>
  <c r="K314" s="1"/>
  <c r="G314" l="1"/>
  <c r="H314" s="1"/>
  <c r="J314" s="1"/>
  <c r="D315" s="1"/>
  <c r="I315" l="1"/>
  <c r="K315" s="1"/>
  <c r="F315"/>
  <c r="G315" l="1"/>
  <c r="H315" s="1"/>
  <c r="J315" s="1"/>
  <c r="D316" s="1"/>
  <c r="I316" l="1"/>
  <c r="K316" s="1"/>
  <c r="F316"/>
  <c r="G316" l="1"/>
  <c r="H316" s="1"/>
  <c r="J316" s="1"/>
  <c r="D317" l="1"/>
  <c r="F317" s="1"/>
  <c r="R315" i="5"/>
  <c r="I317" i="6" l="1"/>
  <c r="K317" s="1"/>
  <c r="G317"/>
  <c r="H317" l="1"/>
  <c r="J317" s="1"/>
  <c r="D318" s="1"/>
  <c r="F318" s="1"/>
  <c r="I318" l="1"/>
  <c r="K318" s="1"/>
  <c r="G318"/>
  <c r="H318" l="1"/>
  <c r="J318" s="1"/>
  <c r="D319" s="1"/>
  <c r="F319" s="1"/>
  <c r="I319" l="1"/>
  <c r="K319" s="1"/>
  <c r="G319"/>
  <c r="H319" l="1"/>
  <c r="J319" s="1"/>
  <c r="D320" s="1"/>
  <c r="I320" s="1"/>
  <c r="K320" s="1"/>
  <c r="F320" l="1"/>
  <c r="G320" s="1"/>
  <c r="H320" s="1"/>
  <c r="J320" s="1"/>
  <c r="D321" s="1"/>
  <c r="I321" l="1"/>
  <c r="K321" s="1"/>
  <c r="F321"/>
  <c r="G321" l="1"/>
  <c r="H321" s="1"/>
  <c r="J321" s="1"/>
  <c r="D322" s="1"/>
  <c r="I322" l="1"/>
  <c r="K322" s="1"/>
  <c r="F322"/>
  <c r="G322" l="1"/>
  <c r="H322" s="1"/>
  <c r="J322" s="1"/>
  <c r="D323" s="1"/>
  <c r="I323" l="1"/>
  <c r="K323" s="1"/>
  <c r="F323"/>
  <c r="G323" l="1"/>
  <c r="H323" s="1"/>
  <c r="J323" s="1"/>
  <c r="D324" s="1"/>
  <c r="I324" l="1"/>
  <c r="K324" s="1"/>
  <c r="F324"/>
  <c r="G324" l="1"/>
  <c r="H324" s="1"/>
  <c r="J324" s="1"/>
  <c r="D325" s="1"/>
  <c r="I325" l="1"/>
  <c r="K325" s="1"/>
  <c r="F325"/>
  <c r="G325" l="1"/>
  <c r="H325" s="1"/>
  <c r="J325" s="1"/>
  <c r="D326" s="1"/>
  <c r="I326" l="1"/>
  <c r="K326" s="1"/>
  <c r="F326"/>
  <c r="G326" l="1"/>
  <c r="H326" s="1"/>
  <c r="J326" s="1"/>
  <c r="D327" s="1"/>
  <c r="I327" l="1"/>
  <c r="K327" s="1"/>
  <c r="F327"/>
  <c r="G327" l="1"/>
  <c r="H327" s="1"/>
  <c r="J327" s="1"/>
  <c r="D328" s="1"/>
  <c r="I328" l="1"/>
  <c r="K328" s="1"/>
  <c r="F328"/>
  <c r="G328" l="1"/>
  <c r="H328" s="1"/>
  <c r="J328" s="1"/>
  <c r="D329" l="1"/>
  <c r="F329" s="1"/>
  <c r="R327" i="5"/>
  <c r="I329" i="6" l="1"/>
  <c r="K329" s="1"/>
  <c r="G329"/>
  <c r="H329" l="1"/>
  <c r="J329" s="1"/>
  <c r="D330" s="1"/>
  <c r="F330" s="1"/>
  <c r="I330" l="1"/>
  <c r="K330" s="1"/>
  <c r="G330"/>
  <c r="H330" l="1"/>
  <c r="J330" s="1"/>
  <c r="D331" s="1"/>
  <c r="F331" s="1"/>
  <c r="I331" l="1"/>
  <c r="K331" s="1"/>
  <c r="G331"/>
  <c r="H331" l="1"/>
  <c r="J331" s="1"/>
  <c r="D332" s="1"/>
  <c r="F332" s="1"/>
  <c r="I332" l="1"/>
  <c r="K332" s="1"/>
  <c r="G332"/>
  <c r="H332" l="1"/>
  <c r="J332" s="1"/>
  <c r="D333" s="1"/>
  <c r="I333" s="1"/>
  <c r="K333" s="1"/>
  <c r="I21" i="4"/>
  <c r="I22"/>
  <c r="I23"/>
  <c r="I24"/>
  <c r="I25"/>
  <c r="I26"/>
  <c r="I27"/>
  <c r="I28"/>
  <c r="I29"/>
  <c r="I30"/>
  <c r="I31"/>
  <c r="I32"/>
  <c r="I33"/>
  <c r="I34"/>
  <c r="I35"/>
  <c r="I36"/>
  <c r="I37"/>
  <c r="I38"/>
  <c r="I39"/>
  <c r="I40"/>
  <c r="I41"/>
  <c r="I42"/>
  <c r="I43"/>
  <c r="I44"/>
  <c r="I45"/>
  <c r="I46"/>
  <c r="I47"/>
  <c r="I48"/>
  <c r="I49"/>
  <c r="I20"/>
  <c r="D21"/>
  <c r="D22"/>
  <c r="D23"/>
  <c r="D24"/>
  <c r="D25"/>
  <c r="D26"/>
  <c r="D27"/>
  <c r="D28"/>
  <c r="D29"/>
  <c r="D30"/>
  <c r="D31"/>
  <c r="D32"/>
  <c r="D33"/>
  <c r="D34"/>
  <c r="D35"/>
  <c r="D36"/>
  <c r="D37"/>
  <c r="D38"/>
  <c r="D39"/>
  <c r="D40"/>
  <c r="D41"/>
  <c r="D42"/>
  <c r="D43"/>
  <c r="D44"/>
  <c r="D45"/>
  <c r="D46"/>
  <c r="D47"/>
  <c r="D48"/>
  <c r="D49"/>
  <c r="D20"/>
  <c r="H20"/>
  <c r="K20" s="1"/>
  <c r="N15" i="2"/>
  <c r="N11"/>
  <c r="K10"/>
  <c r="K8"/>
  <c r="D8"/>
  <c r="D9" s="1"/>
  <c r="F333" i="6" l="1"/>
  <c r="G333" s="1"/>
  <c r="H333" s="1"/>
  <c r="J333" s="1"/>
  <c r="D334" s="1"/>
  <c r="K21" i="4"/>
  <c r="K22" s="1"/>
  <c r="K23" s="1"/>
  <c r="K24" s="1"/>
  <c r="K25" s="1"/>
  <c r="K26" s="1"/>
  <c r="K27" s="1"/>
  <c r="K28" s="1"/>
  <c r="K29" s="1"/>
  <c r="K30" s="1"/>
  <c r="K31" s="1"/>
  <c r="K32" s="1"/>
  <c r="K33" s="1"/>
  <c r="K34" s="1"/>
  <c r="K35" s="1"/>
  <c r="K36" s="1"/>
  <c r="K37" s="1"/>
  <c r="K38" s="1"/>
  <c r="K39" s="1"/>
  <c r="K40" s="1"/>
  <c r="K41" s="1"/>
  <c r="K42" s="1"/>
  <c r="K43" s="1"/>
  <c r="K44" s="1"/>
  <c r="K45" s="1"/>
  <c r="K46" s="1"/>
  <c r="K47" s="1"/>
  <c r="K48" s="1"/>
  <c r="K49" s="1"/>
  <c r="J20"/>
  <c r="P9" i="2"/>
  <c r="C20" i="4" s="1"/>
  <c r="E20" s="1"/>
  <c r="C21" s="1"/>
  <c r="E21" s="1"/>
  <c r="C22" s="1"/>
  <c r="E22" s="1"/>
  <c r="C23" s="1"/>
  <c r="E23" s="1"/>
  <c r="C24" s="1"/>
  <c r="E24" s="1"/>
  <c r="H7" i="2"/>
  <c r="C25" i="4" l="1"/>
  <c r="E25" s="1"/>
  <c r="C26" s="1"/>
  <c r="E26" s="1"/>
  <c r="C27" s="1"/>
  <c r="E27" s="1"/>
  <c r="C28" s="1"/>
  <c r="E28" s="1"/>
  <c r="C29" s="1"/>
  <c r="E29" s="1"/>
  <c r="C5"/>
  <c r="I334" i="6"/>
  <c r="K334" s="1"/>
  <c r="F334"/>
  <c r="K17" i="4"/>
  <c r="H21"/>
  <c r="J21" s="1"/>
  <c r="B30" i="2"/>
  <c r="B32"/>
  <c r="B34"/>
  <c r="B36"/>
  <c r="B38"/>
  <c r="B40"/>
  <c r="B42"/>
  <c r="B44"/>
  <c r="B46"/>
  <c r="B48"/>
  <c r="B31"/>
  <c r="B33"/>
  <c r="B35"/>
  <c r="B37"/>
  <c r="B39"/>
  <c r="B41"/>
  <c r="B43"/>
  <c r="B45"/>
  <c r="B47"/>
  <c r="B49"/>
  <c r="B51"/>
  <c r="B50"/>
  <c r="B57"/>
  <c r="B58"/>
  <c r="B55"/>
  <c r="B56"/>
  <c r="B53"/>
  <c r="B54"/>
  <c r="B61"/>
  <c r="B62"/>
  <c r="B65"/>
  <c r="B66"/>
  <c r="B73"/>
  <c r="B74"/>
  <c r="B81"/>
  <c r="B82"/>
  <c r="B83"/>
  <c r="B85"/>
  <c r="B87"/>
  <c r="B89"/>
  <c r="B91"/>
  <c r="B93"/>
  <c r="B95"/>
  <c r="B97"/>
  <c r="B64"/>
  <c r="B71"/>
  <c r="B72"/>
  <c r="B79"/>
  <c r="B80"/>
  <c r="B69"/>
  <c r="B70"/>
  <c r="B77"/>
  <c r="B78"/>
  <c r="B84"/>
  <c r="B86"/>
  <c r="B88"/>
  <c r="B90"/>
  <c r="B92"/>
  <c r="B94"/>
  <c r="B96"/>
  <c r="B98"/>
  <c r="B100"/>
  <c r="B102"/>
  <c r="B104"/>
  <c r="B106"/>
  <c r="B108"/>
  <c r="B110"/>
  <c r="B112"/>
  <c r="B114"/>
  <c r="B116"/>
  <c r="B118"/>
  <c r="B120"/>
  <c r="B60"/>
  <c r="B68"/>
  <c r="B101"/>
  <c r="B109"/>
  <c r="B117"/>
  <c r="B121"/>
  <c r="B123"/>
  <c r="B125"/>
  <c r="B127"/>
  <c r="B129"/>
  <c r="B131"/>
  <c r="B133"/>
  <c r="B135"/>
  <c r="B137"/>
  <c r="B139"/>
  <c r="B75"/>
  <c r="B99"/>
  <c r="B107"/>
  <c r="B115"/>
  <c r="B67"/>
  <c r="B105"/>
  <c r="B113"/>
  <c r="B122"/>
  <c r="B124"/>
  <c r="B126"/>
  <c r="B128"/>
  <c r="B130"/>
  <c r="B132"/>
  <c r="B134"/>
  <c r="B136"/>
  <c r="B138"/>
  <c r="B140"/>
  <c r="B142"/>
  <c r="B144"/>
  <c r="B146"/>
  <c r="B148"/>
  <c r="B150"/>
  <c r="B152"/>
  <c r="B154"/>
  <c r="B156"/>
  <c r="B158"/>
  <c r="B160"/>
  <c r="B162"/>
  <c r="B52"/>
  <c r="B76"/>
  <c r="B119"/>
  <c r="B149"/>
  <c r="B157"/>
  <c r="B59"/>
  <c r="B111"/>
  <c r="B143"/>
  <c r="B147"/>
  <c r="B155"/>
  <c r="B163"/>
  <c r="B165"/>
  <c r="B167"/>
  <c r="B169"/>
  <c r="B171"/>
  <c r="B173"/>
  <c r="B175"/>
  <c r="B177"/>
  <c r="B179"/>
  <c r="B181"/>
  <c r="B183"/>
  <c r="B185"/>
  <c r="B187"/>
  <c r="B63"/>
  <c r="B103"/>
  <c r="B153"/>
  <c r="B161"/>
  <c r="B141"/>
  <c r="B164"/>
  <c r="B172"/>
  <c r="B180"/>
  <c r="B190"/>
  <c r="B194"/>
  <c r="B198"/>
  <c r="B202"/>
  <c r="B206"/>
  <c r="B207"/>
  <c r="B214"/>
  <c r="B215"/>
  <c r="B222"/>
  <c r="B223"/>
  <c r="B230"/>
  <c r="B231"/>
  <c r="B232"/>
  <c r="B234"/>
  <c r="B236"/>
  <c r="B238"/>
  <c r="B240"/>
  <c r="B242"/>
  <c r="B244"/>
  <c r="B246"/>
  <c r="B248"/>
  <c r="B250"/>
  <c r="B145"/>
  <c r="B166"/>
  <c r="B174"/>
  <c r="B182"/>
  <c r="B191"/>
  <c r="B195"/>
  <c r="B199"/>
  <c r="B203"/>
  <c r="B205"/>
  <c r="B212"/>
  <c r="B213"/>
  <c r="B220"/>
  <c r="B221"/>
  <c r="B228"/>
  <c r="B229"/>
  <c r="B159"/>
  <c r="B168"/>
  <c r="B176"/>
  <c r="B184"/>
  <c r="B188"/>
  <c r="B192"/>
  <c r="B196"/>
  <c r="B200"/>
  <c r="B204"/>
  <c r="B210"/>
  <c r="B211"/>
  <c r="B218"/>
  <c r="B219"/>
  <c r="B226"/>
  <c r="B227"/>
  <c r="B233"/>
  <c r="B235"/>
  <c r="B237"/>
  <c r="B239"/>
  <c r="B241"/>
  <c r="B243"/>
  <c r="B245"/>
  <c r="B247"/>
  <c r="B249"/>
  <c r="B251"/>
  <c r="B253"/>
  <c r="B255"/>
  <c r="B257"/>
  <c r="B259"/>
  <c r="B261"/>
  <c r="B263"/>
  <c r="B265"/>
  <c r="B267"/>
  <c r="B269"/>
  <c r="B271"/>
  <c r="B273"/>
  <c r="B275"/>
  <c r="B170"/>
  <c r="B201"/>
  <c r="B217"/>
  <c r="B260"/>
  <c r="B268"/>
  <c r="B277"/>
  <c r="B279"/>
  <c r="B281"/>
  <c r="B283"/>
  <c r="B285"/>
  <c r="B287"/>
  <c r="B289"/>
  <c r="B291"/>
  <c r="B293"/>
  <c r="B295"/>
  <c r="B297"/>
  <c r="B299"/>
  <c r="B301"/>
  <c r="B303"/>
  <c r="B305"/>
  <c r="B307"/>
  <c r="B309"/>
  <c r="B311"/>
  <c r="B313"/>
  <c r="B315"/>
  <c r="B317"/>
  <c r="B319"/>
  <c r="B321"/>
  <c r="B323"/>
  <c r="B325"/>
  <c r="B327"/>
  <c r="B329"/>
  <c r="B331"/>
  <c r="B333"/>
  <c r="B335"/>
  <c r="B337"/>
  <c r="B339"/>
  <c r="B341"/>
  <c r="B343"/>
  <c r="B345"/>
  <c r="B347"/>
  <c r="B349"/>
  <c r="B351"/>
  <c r="B353"/>
  <c r="B355"/>
  <c r="B357"/>
  <c r="B178"/>
  <c r="B189"/>
  <c r="B209"/>
  <c r="B224"/>
  <c r="B254"/>
  <c r="B258"/>
  <c r="B266"/>
  <c r="B274"/>
  <c r="B151"/>
  <c r="B186"/>
  <c r="B193"/>
  <c r="B216"/>
  <c r="B264"/>
  <c r="B272"/>
  <c r="B276"/>
  <c r="B278"/>
  <c r="B280"/>
  <c r="B282"/>
  <c r="B284"/>
  <c r="B286"/>
  <c r="B288"/>
  <c r="B290"/>
  <c r="B292"/>
  <c r="B294"/>
  <c r="B296"/>
  <c r="B298"/>
  <c r="B300"/>
  <c r="B302"/>
  <c r="B304"/>
  <c r="B306"/>
  <c r="B308"/>
  <c r="B310"/>
  <c r="B312"/>
  <c r="B314"/>
  <c r="B316"/>
  <c r="B318"/>
  <c r="B320"/>
  <c r="B322"/>
  <c r="B324"/>
  <c r="B326"/>
  <c r="B328"/>
  <c r="B330"/>
  <c r="B332"/>
  <c r="B334"/>
  <c r="B336"/>
  <c r="B338"/>
  <c r="B340"/>
  <c r="B342"/>
  <c r="B344"/>
  <c r="B346"/>
  <c r="B348"/>
  <c r="B350"/>
  <c r="B352"/>
  <c r="B354"/>
  <c r="B356"/>
  <c r="B358"/>
  <c r="B360"/>
  <c r="B362"/>
  <c r="B364"/>
  <c r="B366"/>
  <c r="B368"/>
  <c r="B370"/>
  <c r="B372"/>
  <c r="B374"/>
  <c r="B376"/>
  <c r="B270"/>
  <c r="B359"/>
  <c r="B363"/>
  <c r="B367"/>
  <c r="B371"/>
  <c r="B375"/>
  <c r="B378"/>
  <c r="B379"/>
  <c r="B262"/>
  <c r="B197"/>
  <c r="B208"/>
  <c r="B225"/>
  <c r="B252"/>
  <c r="B361"/>
  <c r="B365"/>
  <c r="B369"/>
  <c r="B373"/>
  <c r="B377"/>
  <c r="B256"/>
  <c r="B28"/>
  <c r="B27"/>
  <c r="B20"/>
  <c r="H6"/>
  <c r="B26"/>
  <c r="B25"/>
  <c r="B24"/>
  <c r="B23"/>
  <c r="B22"/>
  <c r="B29"/>
  <c r="B21"/>
  <c r="C30" i="4" l="1"/>
  <c r="E30" s="1"/>
  <c r="C31" s="1"/>
  <c r="E31" s="1"/>
  <c r="C32" s="1"/>
  <c r="E32" s="1"/>
  <c r="C33" s="1"/>
  <c r="E33" s="1"/>
  <c r="C34" s="1"/>
  <c r="E34" s="1"/>
  <c r="C6"/>
  <c r="G334" i="6"/>
  <c r="H334" s="1"/>
  <c r="J334" s="1"/>
  <c r="D335" s="1"/>
  <c r="H22" i="4"/>
  <c r="J22" s="1"/>
  <c r="C252" i="2"/>
  <c r="E252"/>
  <c r="C270"/>
  <c r="E270"/>
  <c r="E354"/>
  <c r="C354"/>
  <c r="E330"/>
  <c r="C330"/>
  <c r="E306"/>
  <c r="C306"/>
  <c r="E282"/>
  <c r="C282"/>
  <c r="C258"/>
  <c r="E258"/>
  <c r="C345"/>
  <c r="E345"/>
  <c r="C321"/>
  <c r="E321"/>
  <c r="C297"/>
  <c r="E297"/>
  <c r="C260"/>
  <c r="E260"/>
  <c r="C259"/>
  <c r="E259"/>
  <c r="E235"/>
  <c r="C235"/>
  <c r="C188"/>
  <c r="E188"/>
  <c r="E203"/>
  <c r="C203"/>
  <c r="C242"/>
  <c r="E242"/>
  <c r="C207"/>
  <c r="E207"/>
  <c r="C164"/>
  <c r="E164"/>
  <c r="E175"/>
  <c r="C175"/>
  <c r="C157"/>
  <c r="E157"/>
  <c r="C148"/>
  <c r="E148"/>
  <c r="E132"/>
  <c r="C132"/>
  <c r="E124"/>
  <c r="C124"/>
  <c r="E75"/>
  <c r="C75"/>
  <c r="C133"/>
  <c r="E133"/>
  <c r="C109"/>
  <c r="E109"/>
  <c r="E120"/>
  <c r="C120"/>
  <c r="E112"/>
  <c r="C112"/>
  <c r="E104"/>
  <c r="C104"/>
  <c r="E96"/>
  <c r="C96"/>
  <c r="E88"/>
  <c r="C88"/>
  <c r="E77"/>
  <c r="C77"/>
  <c r="E79"/>
  <c r="C79"/>
  <c r="C97"/>
  <c r="E97"/>
  <c r="C89"/>
  <c r="E89"/>
  <c r="C82"/>
  <c r="E82"/>
  <c r="C66"/>
  <c r="E66"/>
  <c r="C54"/>
  <c r="E54"/>
  <c r="C58"/>
  <c r="E58"/>
  <c r="E49"/>
  <c r="C49"/>
  <c r="E41"/>
  <c r="C41"/>
  <c r="E33"/>
  <c r="C33"/>
  <c r="C44"/>
  <c r="E44"/>
  <c r="C36"/>
  <c r="E36"/>
  <c r="C369"/>
  <c r="E369"/>
  <c r="C225"/>
  <c r="E225"/>
  <c r="C379"/>
  <c r="E379"/>
  <c r="C367"/>
  <c r="E367"/>
  <c r="E376"/>
  <c r="C376"/>
  <c r="E368"/>
  <c r="C368"/>
  <c r="E360"/>
  <c r="C360"/>
  <c r="E352"/>
  <c r="C352"/>
  <c r="E344"/>
  <c r="C344"/>
  <c r="E336"/>
  <c r="C336"/>
  <c r="E328"/>
  <c r="C328"/>
  <c r="E320"/>
  <c r="C320"/>
  <c r="E312"/>
  <c r="C312"/>
  <c r="E304"/>
  <c r="C304"/>
  <c r="E296"/>
  <c r="C296"/>
  <c r="E288"/>
  <c r="C288"/>
  <c r="E280"/>
  <c r="C280"/>
  <c r="E264"/>
  <c r="C264"/>
  <c r="C151"/>
  <c r="E151"/>
  <c r="C254"/>
  <c r="E254"/>
  <c r="C178"/>
  <c r="E178"/>
  <c r="C351"/>
  <c r="E351"/>
  <c r="C343"/>
  <c r="E343"/>
  <c r="C335"/>
  <c r="E335"/>
  <c r="C327"/>
  <c r="E327"/>
  <c r="C319"/>
  <c r="E319"/>
  <c r="C311"/>
  <c r="E311"/>
  <c r="C303"/>
  <c r="E303"/>
  <c r="C295"/>
  <c r="E295"/>
  <c r="C287"/>
  <c r="E287"/>
  <c r="C279"/>
  <c r="E279"/>
  <c r="C217"/>
  <c r="E217"/>
  <c r="E273"/>
  <c r="C273"/>
  <c r="E265"/>
  <c r="C265"/>
  <c r="E257"/>
  <c r="C257"/>
  <c r="E249"/>
  <c r="C249"/>
  <c r="E241"/>
  <c r="C241"/>
  <c r="E233"/>
  <c r="C233"/>
  <c r="E218"/>
  <c r="C218"/>
  <c r="C200"/>
  <c r="E200"/>
  <c r="C184"/>
  <c r="E184"/>
  <c r="C229"/>
  <c r="E229"/>
  <c r="C213"/>
  <c r="E213"/>
  <c r="E199"/>
  <c r="C199"/>
  <c r="C174"/>
  <c r="E174"/>
  <c r="C248"/>
  <c r="E248"/>
  <c r="C240"/>
  <c r="E240"/>
  <c r="C232"/>
  <c r="E232"/>
  <c r="E222"/>
  <c r="C222"/>
  <c r="E206"/>
  <c r="C206"/>
  <c r="C190"/>
  <c r="E190"/>
  <c r="C141"/>
  <c r="E141"/>
  <c r="E63"/>
  <c r="C63"/>
  <c r="E181"/>
  <c r="C181"/>
  <c r="E173"/>
  <c r="C173"/>
  <c r="E165"/>
  <c r="C165"/>
  <c r="C143"/>
  <c r="E143"/>
  <c r="C149"/>
  <c r="E149"/>
  <c r="E162"/>
  <c r="C162"/>
  <c r="E154"/>
  <c r="C154"/>
  <c r="E146"/>
  <c r="C146"/>
  <c r="E138"/>
  <c r="C138"/>
  <c r="E130"/>
  <c r="C130"/>
  <c r="E122"/>
  <c r="C122"/>
  <c r="C115"/>
  <c r="E115"/>
  <c r="C139"/>
  <c r="E139"/>
  <c r="C131"/>
  <c r="E131"/>
  <c r="C123"/>
  <c r="E123"/>
  <c r="C101"/>
  <c r="E101"/>
  <c r="C118"/>
  <c r="E118"/>
  <c r="C110"/>
  <c r="E110"/>
  <c r="C102"/>
  <c r="E102"/>
  <c r="E94"/>
  <c r="C94"/>
  <c r="E86"/>
  <c r="C86"/>
  <c r="C70"/>
  <c r="E70"/>
  <c r="C72"/>
  <c r="E72"/>
  <c r="C95"/>
  <c r="E95"/>
  <c r="C87"/>
  <c r="E87"/>
  <c r="E81"/>
  <c r="C81"/>
  <c r="E65"/>
  <c r="C65"/>
  <c r="E53"/>
  <c r="C53"/>
  <c r="E57"/>
  <c r="C57"/>
  <c r="E47"/>
  <c r="C47"/>
  <c r="E39"/>
  <c r="C39"/>
  <c r="E31"/>
  <c r="C31"/>
  <c r="C42"/>
  <c r="E42"/>
  <c r="C34"/>
  <c r="E34"/>
  <c r="C373"/>
  <c r="E373"/>
  <c r="C371"/>
  <c r="E371"/>
  <c r="E370"/>
  <c r="C370"/>
  <c r="E346"/>
  <c r="C346"/>
  <c r="E314"/>
  <c r="C314"/>
  <c r="E290"/>
  <c r="C290"/>
  <c r="C186"/>
  <c r="E186"/>
  <c r="C353"/>
  <c r="E353"/>
  <c r="C329"/>
  <c r="E329"/>
  <c r="C305"/>
  <c r="E305"/>
  <c r="C281"/>
  <c r="E281"/>
  <c r="C267"/>
  <c r="E267"/>
  <c r="E243"/>
  <c r="C243"/>
  <c r="C204"/>
  <c r="E204"/>
  <c r="E220"/>
  <c r="C220"/>
  <c r="C250"/>
  <c r="E250"/>
  <c r="C223"/>
  <c r="E223"/>
  <c r="C103"/>
  <c r="E103"/>
  <c r="E167"/>
  <c r="C167"/>
  <c r="C52"/>
  <c r="E52"/>
  <c r="E67"/>
  <c r="C67"/>
  <c r="C256"/>
  <c r="E256"/>
  <c r="C365"/>
  <c r="E365"/>
  <c r="E208"/>
  <c r="C208"/>
  <c r="E378"/>
  <c r="C378"/>
  <c r="C363"/>
  <c r="E363"/>
  <c r="E374"/>
  <c r="C374"/>
  <c r="E366"/>
  <c r="C366"/>
  <c r="E358"/>
  <c r="C358"/>
  <c r="E350"/>
  <c r="C350"/>
  <c r="E342"/>
  <c r="C342"/>
  <c r="E334"/>
  <c r="C334"/>
  <c r="E326"/>
  <c r="C326"/>
  <c r="E318"/>
  <c r="C318"/>
  <c r="E310"/>
  <c r="C310"/>
  <c r="E302"/>
  <c r="C302"/>
  <c r="E294"/>
  <c r="C294"/>
  <c r="E286"/>
  <c r="C286"/>
  <c r="E278"/>
  <c r="C278"/>
  <c r="E216"/>
  <c r="C216"/>
  <c r="C274"/>
  <c r="E274"/>
  <c r="E224"/>
  <c r="C224"/>
  <c r="C357"/>
  <c r="E357"/>
  <c r="C349"/>
  <c r="E349"/>
  <c r="C341"/>
  <c r="E341"/>
  <c r="C333"/>
  <c r="E333"/>
  <c r="C325"/>
  <c r="E325"/>
  <c r="C317"/>
  <c r="E317"/>
  <c r="C309"/>
  <c r="E309"/>
  <c r="C301"/>
  <c r="E301"/>
  <c r="C293"/>
  <c r="E293"/>
  <c r="C285"/>
  <c r="E285"/>
  <c r="C277"/>
  <c r="E277"/>
  <c r="E201"/>
  <c r="C201"/>
  <c r="E271"/>
  <c r="C271"/>
  <c r="E263"/>
  <c r="C263"/>
  <c r="E255"/>
  <c r="C255"/>
  <c r="E247"/>
  <c r="C247"/>
  <c r="E239"/>
  <c r="C239"/>
  <c r="C227"/>
  <c r="E227"/>
  <c r="C211"/>
  <c r="E211"/>
  <c r="C196"/>
  <c r="E196"/>
  <c r="C176"/>
  <c r="E176"/>
  <c r="E228"/>
  <c r="C228"/>
  <c r="E212"/>
  <c r="C212"/>
  <c r="E195"/>
  <c r="C195"/>
  <c r="C166"/>
  <c r="E166"/>
  <c r="C246"/>
  <c r="E246"/>
  <c r="C238"/>
  <c r="E238"/>
  <c r="C231"/>
  <c r="E231"/>
  <c r="C215"/>
  <c r="E215"/>
  <c r="C202"/>
  <c r="E202"/>
  <c r="C180"/>
  <c r="E180"/>
  <c r="E161"/>
  <c r="C161"/>
  <c r="E187"/>
  <c r="C187"/>
  <c r="E179"/>
  <c r="C179"/>
  <c r="E171"/>
  <c r="C171"/>
  <c r="E163"/>
  <c r="C163"/>
  <c r="C111"/>
  <c r="E111"/>
  <c r="C119"/>
  <c r="E119"/>
  <c r="E160"/>
  <c r="C160"/>
  <c r="E152"/>
  <c r="C152"/>
  <c r="E144"/>
  <c r="C144"/>
  <c r="E136"/>
  <c r="C136"/>
  <c r="E128"/>
  <c r="C128"/>
  <c r="E113"/>
  <c r="C113"/>
  <c r="C107"/>
  <c r="E107"/>
  <c r="C137"/>
  <c r="E137"/>
  <c r="C129"/>
  <c r="E129"/>
  <c r="C121"/>
  <c r="E121"/>
  <c r="C68"/>
  <c r="E68"/>
  <c r="C116"/>
  <c r="E116"/>
  <c r="C108"/>
  <c r="E108"/>
  <c r="C100"/>
  <c r="E100"/>
  <c r="E92"/>
  <c r="C92"/>
  <c r="E84"/>
  <c r="C84"/>
  <c r="E69"/>
  <c r="C69"/>
  <c r="E71"/>
  <c r="C71"/>
  <c r="C93"/>
  <c r="E93"/>
  <c r="C85"/>
  <c r="E85"/>
  <c r="C74"/>
  <c r="E74"/>
  <c r="C62"/>
  <c r="E62"/>
  <c r="C56"/>
  <c r="E56"/>
  <c r="C50"/>
  <c r="E50"/>
  <c r="E45"/>
  <c r="C45"/>
  <c r="E37"/>
  <c r="C37"/>
  <c r="C48"/>
  <c r="E48"/>
  <c r="C40"/>
  <c r="E40"/>
  <c r="C32"/>
  <c r="E32"/>
  <c r="C262"/>
  <c r="E262"/>
  <c r="E362"/>
  <c r="C362"/>
  <c r="E338"/>
  <c r="C338"/>
  <c r="E322"/>
  <c r="C322"/>
  <c r="E298"/>
  <c r="C298"/>
  <c r="E272"/>
  <c r="C272"/>
  <c r="E189"/>
  <c r="C189"/>
  <c r="C337"/>
  <c r="E337"/>
  <c r="C313"/>
  <c r="E313"/>
  <c r="C289"/>
  <c r="E289"/>
  <c r="C275"/>
  <c r="E275"/>
  <c r="E251"/>
  <c r="C251"/>
  <c r="C219"/>
  <c r="E219"/>
  <c r="C159"/>
  <c r="E159"/>
  <c r="C182"/>
  <c r="E182"/>
  <c r="C234"/>
  <c r="E234"/>
  <c r="C194"/>
  <c r="E194"/>
  <c r="E183"/>
  <c r="C183"/>
  <c r="C147"/>
  <c r="E147"/>
  <c r="C156"/>
  <c r="E156"/>
  <c r="E140"/>
  <c r="C140"/>
  <c r="C125"/>
  <c r="E125"/>
  <c r="C377"/>
  <c r="E377"/>
  <c r="C361"/>
  <c r="E361"/>
  <c r="E197"/>
  <c r="C197"/>
  <c r="C375"/>
  <c r="E375"/>
  <c r="C359"/>
  <c r="E359"/>
  <c r="E372"/>
  <c r="C372"/>
  <c r="E364"/>
  <c r="C364"/>
  <c r="E356"/>
  <c r="C356"/>
  <c r="E348"/>
  <c r="C348"/>
  <c r="E340"/>
  <c r="C340"/>
  <c r="E332"/>
  <c r="C332"/>
  <c r="E324"/>
  <c r="C324"/>
  <c r="E316"/>
  <c r="C316"/>
  <c r="E308"/>
  <c r="C308"/>
  <c r="E300"/>
  <c r="C300"/>
  <c r="E292"/>
  <c r="C292"/>
  <c r="E284"/>
  <c r="C284"/>
  <c r="E276"/>
  <c r="C276"/>
  <c r="E193"/>
  <c r="C193"/>
  <c r="C266"/>
  <c r="E266"/>
  <c r="C209"/>
  <c r="E209"/>
  <c r="C355"/>
  <c r="E355"/>
  <c r="C347"/>
  <c r="E347"/>
  <c r="C339"/>
  <c r="E339"/>
  <c r="C331"/>
  <c r="E331"/>
  <c r="C323"/>
  <c r="E323"/>
  <c r="C315"/>
  <c r="E315"/>
  <c r="C307"/>
  <c r="E307"/>
  <c r="C299"/>
  <c r="E299"/>
  <c r="C291"/>
  <c r="E291"/>
  <c r="C283"/>
  <c r="E283"/>
  <c r="C268"/>
  <c r="E268"/>
  <c r="C170"/>
  <c r="E170"/>
  <c r="C269"/>
  <c r="E269"/>
  <c r="C261"/>
  <c r="E261"/>
  <c r="E253"/>
  <c r="C253"/>
  <c r="E245"/>
  <c r="C245"/>
  <c r="E237"/>
  <c r="C237"/>
  <c r="E226"/>
  <c r="C226"/>
  <c r="E210"/>
  <c r="C210"/>
  <c r="C192"/>
  <c r="E192"/>
  <c r="C168"/>
  <c r="E168"/>
  <c r="C221"/>
  <c r="E221"/>
  <c r="C205"/>
  <c r="E205"/>
  <c r="E191"/>
  <c r="C191"/>
  <c r="C145"/>
  <c r="E145"/>
  <c r="C244"/>
  <c r="E244"/>
  <c r="C236"/>
  <c r="E236"/>
  <c r="E230"/>
  <c r="C230"/>
  <c r="E214"/>
  <c r="C214"/>
  <c r="C198"/>
  <c r="E198"/>
  <c r="C172"/>
  <c r="E172"/>
  <c r="E153"/>
  <c r="C153"/>
  <c r="E185"/>
  <c r="C185"/>
  <c r="E177"/>
  <c r="C177"/>
  <c r="E169"/>
  <c r="C169"/>
  <c r="C155"/>
  <c r="E155"/>
  <c r="E59"/>
  <c r="C59"/>
  <c r="C76"/>
  <c r="E76"/>
  <c r="C158"/>
  <c r="E158"/>
  <c r="C150"/>
  <c r="E150"/>
  <c r="E142"/>
  <c r="C142"/>
  <c r="E134"/>
  <c r="C134"/>
  <c r="E126"/>
  <c r="C126"/>
  <c r="E105"/>
  <c r="C105"/>
  <c r="C99"/>
  <c r="E99"/>
  <c r="C135"/>
  <c r="E135"/>
  <c r="C127"/>
  <c r="E127"/>
  <c r="C117"/>
  <c r="E117"/>
  <c r="C60"/>
  <c r="E60"/>
  <c r="E114"/>
  <c r="C114"/>
  <c r="E106"/>
  <c r="C106"/>
  <c r="E98"/>
  <c r="C98"/>
  <c r="E90"/>
  <c r="C90"/>
  <c r="C78"/>
  <c r="E78"/>
  <c r="C80"/>
  <c r="E80"/>
  <c r="C64"/>
  <c r="E64"/>
  <c r="C91"/>
  <c r="E91"/>
  <c r="C83"/>
  <c r="E83"/>
  <c r="E73"/>
  <c r="C73"/>
  <c r="E61"/>
  <c r="C61"/>
  <c r="E55"/>
  <c r="C55"/>
  <c r="E51"/>
  <c r="C51"/>
  <c r="E43"/>
  <c r="C43"/>
  <c r="E35"/>
  <c r="C35"/>
  <c r="C46"/>
  <c r="E46"/>
  <c r="C38"/>
  <c r="E38"/>
  <c r="C30"/>
  <c r="E30"/>
  <c r="E21"/>
  <c r="E24"/>
  <c r="E25"/>
  <c r="E26"/>
  <c r="E29"/>
  <c r="E23"/>
  <c r="E27"/>
  <c r="E22"/>
  <c r="E20"/>
  <c r="D20"/>
  <c r="E28"/>
  <c r="C20"/>
  <c r="C21"/>
  <c r="C22"/>
  <c r="C35" i="4" l="1"/>
  <c r="E35" s="1"/>
  <c r="C36" s="1"/>
  <c r="E36" s="1"/>
  <c r="C37" s="1"/>
  <c r="E37" s="1"/>
  <c r="C38" s="1"/>
  <c r="E38" s="1"/>
  <c r="C39" s="1"/>
  <c r="E39" s="1"/>
  <c r="C7"/>
  <c r="I335" i="6"/>
  <c r="K335" s="1"/>
  <c r="F335"/>
  <c r="H23" i="4"/>
  <c r="J23" s="1"/>
  <c r="I20" i="2"/>
  <c r="K6" s="1"/>
  <c r="M20" i="4"/>
  <c r="C23" i="2"/>
  <c r="C40" i="4" l="1"/>
  <c r="E40" s="1"/>
  <c r="C41" s="1"/>
  <c r="E41" s="1"/>
  <c r="C42" s="1"/>
  <c r="E42" s="1"/>
  <c r="C43" s="1"/>
  <c r="E43" s="1"/>
  <c r="C44" s="1"/>
  <c r="E44" s="1"/>
  <c r="C8"/>
  <c r="G335" i="6"/>
  <c r="H335" s="1"/>
  <c r="J335" s="1"/>
  <c r="D336" s="1"/>
  <c r="H24" i="4"/>
  <c r="J24" s="1"/>
  <c r="K20" i="2"/>
  <c r="C24"/>
  <c r="C45" i="4" l="1"/>
  <c r="E45" s="1"/>
  <c r="C46" s="1"/>
  <c r="E46" s="1"/>
  <c r="C47" s="1"/>
  <c r="E47" s="1"/>
  <c r="C48" s="1"/>
  <c r="E48" s="1"/>
  <c r="C49" s="1"/>
  <c r="E49" s="1"/>
  <c r="C9"/>
  <c r="I336" i="6"/>
  <c r="K336" s="1"/>
  <c r="F336"/>
  <c r="H25" i="4"/>
  <c r="J25" s="1"/>
  <c r="C25" i="2"/>
  <c r="C10" i="4" l="1"/>
  <c r="G336" i="6"/>
  <c r="H336" s="1"/>
  <c r="J336" s="1"/>
  <c r="D337" s="1"/>
  <c r="H26" i="4"/>
  <c r="J26" s="1"/>
  <c r="C26" i="2"/>
  <c r="I337" i="6" l="1"/>
  <c r="K337" s="1"/>
  <c r="F337"/>
  <c r="H27" i="4"/>
  <c r="J27" s="1"/>
  <c r="C27" i="2"/>
  <c r="C28"/>
  <c r="G337" i="6" l="1"/>
  <c r="H337" s="1"/>
  <c r="J337" s="1"/>
  <c r="D338" s="1"/>
  <c r="H28" i="4"/>
  <c r="J28" s="1"/>
  <c r="C29" i="2"/>
  <c r="I338" i="6" l="1"/>
  <c r="K338" s="1"/>
  <c r="F338"/>
  <c r="H29" i="4"/>
  <c r="J29" s="1"/>
  <c r="F20" i="2"/>
  <c r="G338" i="6" l="1"/>
  <c r="H338" s="1"/>
  <c r="J338" s="1"/>
  <c r="D339" s="1"/>
  <c r="H30" i="4"/>
  <c r="J30" s="1"/>
  <c r="G20" i="2"/>
  <c r="H20" s="1"/>
  <c r="I339" i="6" l="1"/>
  <c r="K339" s="1"/>
  <c r="F339"/>
  <c r="H31" i="4"/>
  <c r="J31" s="1"/>
  <c r="J20" i="2"/>
  <c r="D21" s="1"/>
  <c r="F21" s="1"/>
  <c r="K5"/>
  <c r="K12" s="1"/>
  <c r="E17" i="5" s="1"/>
  <c r="E18" l="1"/>
  <c r="F17"/>
  <c r="N17" s="1"/>
  <c r="P17" s="1"/>
  <c r="G339" i="6"/>
  <c r="H339" s="1"/>
  <c r="J339" s="1"/>
  <c r="D340" s="1"/>
  <c r="H32" i="4"/>
  <c r="J32" s="1"/>
  <c r="N9" i="2"/>
  <c r="I21"/>
  <c r="G21"/>
  <c r="P18" i="5" l="1"/>
  <c r="H17"/>
  <c r="J17" s="1"/>
  <c r="E19"/>
  <c r="F18"/>
  <c r="N18" s="1"/>
  <c r="F340" i="6"/>
  <c r="I340"/>
  <c r="K340" s="1"/>
  <c r="H33" i="4"/>
  <c r="J33" s="1"/>
  <c r="N16" i="2"/>
  <c r="P5" s="1"/>
  <c r="L20" i="4" s="1"/>
  <c r="K21" i="2"/>
  <c r="H21"/>
  <c r="J21" s="1"/>
  <c r="H18" i="5" l="1"/>
  <c r="J18" s="1"/>
  <c r="E20"/>
  <c r="F19"/>
  <c r="N19" s="1"/>
  <c r="P19" s="1"/>
  <c r="G340" i="6"/>
  <c r="H340" s="1"/>
  <c r="J340" s="1"/>
  <c r="H34" i="4"/>
  <c r="J34" s="1"/>
  <c r="L21"/>
  <c r="L22" s="1"/>
  <c r="L23" s="1"/>
  <c r="L24" s="1"/>
  <c r="L25" s="1"/>
  <c r="P11" i="2"/>
  <c r="P13"/>
  <c r="P7"/>
  <c r="P15"/>
  <c r="P17" s="1"/>
  <c r="D22"/>
  <c r="I22" s="1"/>
  <c r="L26" i="4" l="1"/>
  <c r="L27" s="1"/>
  <c r="L28" s="1"/>
  <c r="L29" s="1"/>
  <c r="L30" s="1"/>
  <c r="D341" i="6"/>
  <c r="F341" s="1"/>
  <c r="R339" i="5"/>
  <c r="H19"/>
  <c r="J19" s="1"/>
  <c r="E21"/>
  <c r="F20"/>
  <c r="N20" s="1"/>
  <c r="P20" s="1"/>
  <c r="H35" i="4"/>
  <c r="J35" s="1"/>
  <c r="F22" i="2"/>
  <c r="K22"/>
  <c r="L31" i="4" l="1"/>
  <c r="L32" s="1"/>
  <c r="L33" s="1"/>
  <c r="L34" s="1"/>
  <c r="L35" s="1"/>
  <c r="I341" i="6"/>
  <c r="K341" s="1"/>
  <c r="H20" i="5"/>
  <c r="J20" s="1"/>
  <c r="E22"/>
  <c r="F21"/>
  <c r="N21" s="1"/>
  <c r="P21" s="1"/>
  <c r="G341" i="6"/>
  <c r="H36" i="4"/>
  <c r="J36" s="1"/>
  <c r="G22" i="2"/>
  <c r="H22" s="1"/>
  <c r="J22" s="1"/>
  <c r="L36" i="4" l="1"/>
  <c r="L37" s="1"/>
  <c r="L38" s="1"/>
  <c r="L39" s="1"/>
  <c r="L40" s="1"/>
  <c r="H341" i="6"/>
  <c r="J341" s="1"/>
  <c r="D342" s="1"/>
  <c r="F342" s="1"/>
  <c r="H21" i="5"/>
  <c r="J21" s="1"/>
  <c r="E23"/>
  <c r="F22"/>
  <c r="N22" s="1"/>
  <c r="P22" s="1"/>
  <c r="H37" i="4"/>
  <c r="J37" s="1"/>
  <c r="D23" i="2"/>
  <c r="I23" s="1"/>
  <c r="K23" s="1"/>
  <c r="L41" i="4" l="1"/>
  <c r="L42" s="1"/>
  <c r="L43" s="1"/>
  <c r="L44" s="1"/>
  <c r="L45" s="1"/>
  <c r="I342" i="6"/>
  <c r="K342" s="1"/>
  <c r="H22" i="5"/>
  <c r="J22" s="1"/>
  <c r="E24"/>
  <c r="F23"/>
  <c r="N23" s="1"/>
  <c r="P23" s="1"/>
  <c r="G342" i="6"/>
  <c r="H38" i="4"/>
  <c r="J38" s="1"/>
  <c r="F23" i="2"/>
  <c r="G23" s="1"/>
  <c r="H23" s="1"/>
  <c r="J23" s="1"/>
  <c r="L46" i="4" l="1"/>
  <c r="L47" s="1"/>
  <c r="L48" s="1"/>
  <c r="L49" s="1"/>
  <c r="H342" i="6"/>
  <c r="J342" s="1"/>
  <c r="D343" s="1"/>
  <c r="F343" s="1"/>
  <c r="H23" i="5"/>
  <c r="J23" s="1"/>
  <c r="E25"/>
  <c r="F24"/>
  <c r="N24" s="1"/>
  <c r="P24" s="1"/>
  <c r="H39" i="4"/>
  <c r="J39" s="1"/>
  <c r="D24" i="2"/>
  <c r="I24" s="1"/>
  <c r="K24" s="1"/>
  <c r="L17" i="4" l="1"/>
  <c r="I343" i="6"/>
  <c r="K343" s="1"/>
  <c r="H24" i="5"/>
  <c r="J24" s="1"/>
  <c r="E26"/>
  <c r="F25"/>
  <c r="N25" s="1"/>
  <c r="P25" s="1"/>
  <c r="G343" i="6"/>
  <c r="H40" i="4"/>
  <c r="J40" s="1"/>
  <c r="F24" i="2"/>
  <c r="G24" s="1"/>
  <c r="H24" s="1"/>
  <c r="J24" s="1"/>
  <c r="H343" i="6" l="1"/>
  <c r="J343" s="1"/>
  <c r="D344" s="1"/>
  <c r="F344" s="1"/>
  <c r="H25" i="5"/>
  <c r="J25" s="1"/>
  <c r="E27"/>
  <c r="F26"/>
  <c r="N26" s="1"/>
  <c r="P26" s="1"/>
  <c r="H41" i="4"/>
  <c r="J41" s="1"/>
  <c r="D25" i="2"/>
  <c r="F25" s="1"/>
  <c r="G25" s="1"/>
  <c r="I344" i="6" l="1"/>
  <c r="K344" s="1"/>
  <c r="H26" i="5"/>
  <c r="J26" s="1"/>
  <c r="E28"/>
  <c r="F27"/>
  <c r="N27" s="1"/>
  <c r="P27" s="1"/>
  <c r="S27" s="1"/>
  <c r="G344" i="6"/>
  <c r="H42" i="4"/>
  <c r="J42" s="1"/>
  <c r="I25" i="2"/>
  <c r="H25" s="1"/>
  <c r="J25" s="1"/>
  <c r="D26" s="1"/>
  <c r="F26" s="1"/>
  <c r="H344" i="6" l="1"/>
  <c r="J344" s="1"/>
  <c r="D345" s="1"/>
  <c r="F345" s="1"/>
  <c r="H27" i="5"/>
  <c r="J27" s="1"/>
  <c r="L27" s="1"/>
  <c r="E29"/>
  <c r="F28"/>
  <c r="N28" s="1"/>
  <c r="P28" s="1"/>
  <c r="H43" i="4"/>
  <c r="J43" s="1"/>
  <c r="K25" i="2"/>
  <c r="I26"/>
  <c r="K26" s="1"/>
  <c r="G26"/>
  <c r="I345" i="6" l="1"/>
  <c r="K345" s="1"/>
  <c r="H28" i="5"/>
  <c r="J28" s="1"/>
  <c r="E30"/>
  <c r="F29"/>
  <c r="N29" s="1"/>
  <c r="P29" s="1"/>
  <c r="G345" i="6"/>
  <c r="H44" i="4"/>
  <c r="J44" s="1"/>
  <c r="H26" i="2"/>
  <c r="J26" s="1"/>
  <c r="D27" s="1"/>
  <c r="F27" s="1"/>
  <c r="H345" i="6" l="1"/>
  <c r="J345" s="1"/>
  <c r="D346" s="1"/>
  <c r="F346" s="1"/>
  <c r="H29" i="5"/>
  <c r="J29" s="1"/>
  <c r="E31"/>
  <c r="F30"/>
  <c r="N30" s="1"/>
  <c r="P30" s="1"/>
  <c r="H45" i="4"/>
  <c r="J45" s="1"/>
  <c r="I27" i="2"/>
  <c r="K27" s="1"/>
  <c r="G27"/>
  <c r="I346" i="6" l="1"/>
  <c r="K346" s="1"/>
  <c r="H30" i="5"/>
  <c r="J30" s="1"/>
  <c r="E32"/>
  <c r="F31"/>
  <c r="N31" s="1"/>
  <c r="P31" s="1"/>
  <c r="G346" i="6"/>
  <c r="H46" i="4"/>
  <c r="J46" s="1"/>
  <c r="H27" i="2"/>
  <c r="J27" s="1"/>
  <c r="D28" s="1"/>
  <c r="F28" s="1"/>
  <c r="H346" i="6" l="1"/>
  <c r="J346" s="1"/>
  <c r="D347" s="1"/>
  <c r="F347" s="1"/>
  <c r="H31" i="5"/>
  <c r="J31" s="1"/>
  <c r="E33"/>
  <c r="F32"/>
  <c r="N32" s="1"/>
  <c r="P32" s="1"/>
  <c r="H47" i="4"/>
  <c r="J47" s="1"/>
  <c r="I28" i="2"/>
  <c r="K28" s="1"/>
  <c r="G28"/>
  <c r="I347" i="6" l="1"/>
  <c r="K347" s="1"/>
  <c r="H32" i="5"/>
  <c r="J32" s="1"/>
  <c r="E34"/>
  <c r="F33"/>
  <c r="N33" s="1"/>
  <c r="P33" s="1"/>
  <c r="G347" i="6"/>
  <c r="H48" i="4"/>
  <c r="J48" s="1"/>
  <c r="H28" i="2"/>
  <c r="J28" s="1"/>
  <c r="D29" s="1"/>
  <c r="F29" s="1"/>
  <c r="H347" i="6" l="1"/>
  <c r="J347" s="1"/>
  <c r="D348" s="1"/>
  <c r="F348" s="1"/>
  <c r="P34" i="5"/>
  <c r="H33"/>
  <c r="J33" s="1"/>
  <c r="E35"/>
  <c r="F34"/>
  <c r="N34" s="1"/>
  <c r="H49" i="4"/>
  <c r="J49" s="1"/>
  <c r="I29" i="2"/>
  <c r="K29" s="1"/>
  <c r="G29"/>
  <c r="I348" i="6" l="1"/>
  <c r="K348" s="1"/>
  <c r="H34" i="5"/>
  <c r="J34" s="1"/>
  <c r="E36"/>
  <c r="F35"/>
  <c r="N35" s="1"/>
  <c r="P35" s="1"/>
  <c r="G348" i="6"/>
  <c r="H29" i="2"/>
  <c r="J29" s="1"/>
  <c r="D30" s="1"/>
  <c r="F30" s="1"/>
  <c r="H348" i="6" l="1"/>
  <c r="J348" s="1"/>
  <c r="D349" s="1"/>
  <c r="I349" s="1"/>
  <c r="K349" s="1"/>
  <c r="P36" i="5"/>
  <c r="H35"/>
  <c r="J35" s="1"/>
  <c r="E37"/>
  <c r="F36"/>
  <c r="N36" s="1"/>
  <c r="I30" i="2"/>
  <c r="K30" s="1"/>
  <c r="G30"/>
  <c r="F349" i="6" l="1"/>
  <c r="G349" s="1"/>
  <c r="H349" s="1"/>
  <c r="J349" s="1"/>
  <c r="D350" s="1"/>
  <c r="H36" i="5"/>
  <c r="J36" s="1"/>
  <c r="E38"/>
  <c r="F37"/>
  <c r="N37" s="1"/>
  <c r="P37" s="1"/>
  <c r="H30" i="2"/>
  <c r="J30" s="1"/>
  <c r="D31" s="1"/>
  <c r="F31" s="1"/>
  <c r="H37" i="5" l="1"/>
  <c r="J37" s="1"/>
  <c r="E39"/>
  <c r="F38"/>
  <c r="N38" s="1"/>
  <c r="P38" s="1"/>
  <c r="I350" i="6"/>
  <c r="K350" s="1"/>
  <c r="F350"/>
  <c r="I31" i="2"/>
  <c r="K31" s="1"/>
  <c r="G31"/>
  <c r="H38" i="5" l="1"/>
  <c r="J38" s="1"/>
  <c r="E40"/>
  <c r="F39"/>
  <c r="N39" s="1"/>
  <c r="P39" s="1"/>
  <c r="S39" s="1"/>
  <c r="G350" i="6"/>
  <c r="H350" s="1"/>
  <c r="J350" s="1"/>
  <c r="D351" s="1"/>
  <c r="H31" i="2"/>
  <c r="J31" s="1"/>
  <c r="N20" i="4" s="1"/>
  <c r="H39" i="5" l="1"/>
  <c r="J39" s="1"/>
  <c r="L39" s="1"/>
  <c r="E41"/>
  <c r="F40"/>
  <c r="N40" s="1"/>
  <c r="P40" s="1"/>
  <c r="I351" i="6"/>
  <c r="K351" s="1"/>
  <c r="F351"/>
  <c r="M21" i="4"/>
  <c r="O20"/>
  <c r="D32" i="2"/>
  <c r="I32" s="1"/>
  <c r="K32" s="1"/>
  <c r="H40" i="5" l="1"/>
  <c r="J40" s="1"/>
  <c r="E42"/>
  <c r="F41"/>
  <c r="N41" s="1"/>
  <c r="P41" s="1"/>
  <c r="G351" i="6"/>
  <c r="H351" s="1"/>
  <c r="J351" s="1"/>
  <c r="D352" s="1"/>
  <c r="F32" i="2"/>
  <c r="G32" s="1"/>
  <c r="H41" i="5" l="1"/>
  <c r="J41" s="1"/>
  <c r="E43"/>
  <c r="F42"/>
  <c r="N42" s="1"/>
  <c r="P42" s="1"/>
  <c r="I352" i="6"/>
  <c r="K352" s="1"/>
  <c r="F352"/>
  <c r="H32" i="2"/>
  <c r="J32" s="1"/>
  <c r="D33" s="1"/>
  <c r="H42" i="5" l="1"/>
  <c r="J42" s="1"/>
  <c r="E44"/>
  <c r="F43"/>
  <c r="N43" s="1"/>
  <c r="P43" s="1"/>
  <c r="G352" i="6"/>
  <c r="H352" s="1"/>
  <c r="J352" s="1"/>
  <c r="I33" i="2"/>
  <c r="K33" s="1"/>
  <c r="F33"/>
  <c r="D353" i="6" l="1"/>
  <c r="F353" s="1"/>
  <c r="R351" i="5"/>
  <c r="H43"/>
  <c r="J43" s="1"/>
  <c r="E45"/>
  <c r="F44"/>
  <c r="N44" s="1"/>
  <c r="P44" s="1"/>
  <c r="G33" i="2"/>
  <c r="I353" i="6" l="1"/>
  <c r="K353" s="1"/>
  <c r="P45" i="5"/>
  <c r="H44"/>
  <c r="J44" s="1"/>
  <c r="E46"/>
  <c r="F45"/>
  <c r="N45" s="1"/>
  <c r="G353" i="6"/>
  <c r="H33" i="2"/>
  <c r="J33" s="1"/>
  <c r="D34" s="1"/>
  <c r="H353" i="6" l="1"/>
  <c r="J353" s="1"/>
  <c r="D354" s="1"/>
  <c r="F354" s="1"/>
  <c r="P46" i="5"/>
  <c r="H45"/>
  <c r="J45" s="1"/>
  <c r="E47"/>
  <c r="F46"/>
  <c r="N46" s="1"/>
  <c r="I34" i="2"/>
  <c r="K34" s="1"/>
  <c r="F34"/>
  <c r="I354" i="6" l="1"/>
  <c r="K354" s="1"/>
  <c r="H46" i="5"/>
  <c r="J46" s="1"/>
  <c r="E48"/>
  <c r="F47"/>
  <c r="N47" s="1"/>
  <c r="P47" s="1"/>
  <c r="G354" i="6"/>
  <c r="G34" i="2"/>
  <c r="H354" i="6" l="1"/>
  <c r="J354" s="1"/>
  <c r="D355" s="1"/>
  <c r="F355" s="1"/>
  <c r="H47" i="5"/>
  <c r="J47" s="1"/>
  <c r="E49"/>
  <c r="F48"/>
  <c r="N48" s="1"/>
  <c r="P48" s="1"/>
  <c r="H34" i="2"/>
  <c r="J34" s="1"/>
  <c r="D35" s="1"/>
  <c r="I355" i="6" l="1"/>
  <c r="K355" s="1"/>
  <c r="H48" i="5"/>
  <c r="J48" s="1"/>
  <c r="E50"/>
  <c r="F49"/>
  <c r="N49" s="1"/>
  <c r="P49" s="1"/>
  <c r="G355" i="6"/>
  <c r="I35" i="2"/>
  <c r="K35" s="1"/>
  <c r="F35"/>
  <c r="H355" i="6" l="1"/>
  <c r="J355" s="1"/>
  <c r="D356" s="1"/>
  <c r="F356" s="1"/>
  <c r="H49" i="5"/>
  <c r="J49" s="1"/>
  <c r="E51"/>
  <c r="F50"/>
  <c r="N50" s="1"/>
  <c r="P50" s="1"/>
  <c r="G35" i="2"/>
  <c r="I356" i="6" l="1"/>
  <c r="K356" s="1"/>
  <c r="H50" i="5"/>
  <c r="J50" s="1"/>
  <c r="E52"/>
  <c r="F51"/>
  <c r="N51" s="1"/>
  <c r="G356" i="6"/>
  <c r="H35" i="2"/>
  <c r="J35" s="1"/>
  <c r="D36" s="1"/>
  <c r="H356" i="6" l="1"/>
  <c r="J356" s="1"/>
  <c r="D357" s="1"/>
  <c r="F357" s="1"/>
  <c r="P51" i="5"/>
  <c r="H51"/>
  <c r="J51" s="1"/>
  <c r="L51" s="1"/>
  <c r="E53"/>
  <c r="F52"/>
  <c r="N52" s="1"/>
  <c r="I36" i="2"/>
  <c r="K36" s="1"/>
  <c r="F36"/>
  <c r="I357" i="6" l="1"/>
  <c r="K357" s="1"/>
  <c r="P52" i="5"/>
  <c r="S51"/>
  <c r="H52"/>
  <c r="J52" s="1"/>
  <c r="E54"/>
  <c r="F53"/>
  <c r="N53" s="1"/>
  <c r="G357" i="6"/>
  <c r="G36" i="2"/>
  <c r="H357" i="6" l="1"/>
  <c r="J357" s="1"/>
  <c r="D358" s="1"/>
  <c r="F358" s="1"/>
  <c r="P53" i="5"/>
  <c r="P54" s="1"/>
  <c r="H53"/>
  <c r="J53" s="1"/>
  <c r="E55"/>
  <c r="F54"/>
  <c r="N54" s="1"/>
  <c r="H36" i="2"/>
  <c r="J36" s="1"/>
  <c r="D37" s="1"/>
  <c r="I358" i="6" l="1"/>
  <c r="K358" s="1"/>
  <c r="H54" i="5"/>
  <c r="J54" s="1"/>
  <c r="E56"/>
  <c r="F55"/>
  <c r="N55" s="1"/>
  <c r="P55" s="1"/>
  <c r="G358" i="6"/>
  <c r="F37" i="2"/>
  <c r="I37"/>
  <c r="K37" s="1"/>
  <c r="H358" i="6" l="1"/>
  <c r="J358" s="1"/>
  <c r="D359" s="1"/>
  <c r="F359" s="1"/>
  <c r="H55" i="5"/>
  <c r="J55" s="1"/>
  <c r="E57"/>
  <c r="F56"/>
  <c r="N56" s="1"/>
  <c r="P56" s="1"/>
  <c r="G37" i="2"/>
  <c r="H37" s="1"/>
  <c r="J37" s="1"/>
  <c r="D38" s="1"/>
  <c r="I359" i="6" l="1"/>
  <c r="K359" s="1"/>
  <c r="H56" i="5"/>
  <c r="J56" s="1"/>
  <c r="E58"/>
  <c r="F57"/>
  <c r="N57" s="1"/>
  <c r="P57" s="1"/>
  <c r="G359" i="6"/>
  <c r="I38" i="2"/>
  <c r="K38" s="1"/>
  <c r="F38"/>
  <c r="H359" i="6" l="1"/>
  <c r="J359" s="1"/>
  <c r="D360" s="1"/>
  <c r="I360" s="1"/>
  <c r="K360" s="1"/>
  <c r="H57" i="5"/>
  <c r="J57" s="1"/>
  <c r="E59"/>
  <c r="F58"/>
  <c r="N58" s="1"/>
  <c r="P58" s="1"/>
  <c r="G38" i="2"/>
  <c r="H38" s="1"/>
  <c r="J38" s="1"/>
  <c r="D39" s="1"/>
  <c r="F360" i="6" l="1"/>
  <c r="G360" s="1"/>
  <c r="H360" s="1"/>
  <c r="J360" s="1"/>
  <c r="D361" s="1"/>
  <c r="P59" i="5"/>
  <c r="H58"/>
  <c r="J58" s="1"/>
  <c r="E60"/>
  <c r="F59"/>
  <c r="N59" s="1"/>
  <c r="I39" i="2"/>
  <c r="K39" s="1"/>
  <c r="F39"/>
  <c r="H59" i="5" l="1"/>
  <c r="J59" s="1"/>
  <c r="E61"/>
  <c r="F60"/>
  <c r="N60" s="1"/>
  <c r="P60" s="1"/>
  <c r="F361" i="6"/>
  <c r="I361"/>
  <c r="K361" s="1"/>
  <c r="G39" i="2"/>
  <c r="H39" s="1"/>
  <c r="J39" s="1"/>
  <c r="D40" s="1"/>
  <c r="H60" i="5" l="1"/>
  <c r="J60" s="1"/>
  <c r="E62"/>
  <c r="F61"/>
  <c r="N61" s="1"/>
  <c r="P61" s="1"/>
  <c r="G361" i="6"/>
  <c r="H361" s="1"/>
  <c r="J361" s="1"/>
  <c r="D362" s="1"/>
  <c r="I40" i="2"/>
  <c r="K40" s="1"/>
  <c r="F40"/>
  <c r="H61" i="5" l="1"/>
  <c r="J61" s="1"/>
  <c r="E63"/>
  <c r="F62"/>
  <c r="N62" s="1"/>
  <c r="P62" s="1"/>
  <c r="I362" i="6"/>
  <c r="K362" s="1"/>
  <c r="F362"/>
  <c r="G40" i="2"/>
  <c r="H40" s="1"/>
  <c r="J40" s="1"/>
  <c r="D41" s="1"/>
  <c r="H62" i="5" l="1"/>
  <c r="J62" s="1"/>
  <c r="E64"/>
  <c r="F63"/>
  <c r="N63" s="1"/>
  <c r="G362" i="6"/>
  <c r="H362" s="1"/>
  <c r="J362" s="1"/>
  <c r="D363" s="1"/>
  <c r="I41" i="2"/>
  <c r="K41" s="1"/>
  <c r="F41"/>
  <c r="P63" i="5" l="1"/>
  <c r="H63"/>
  <c r="J63" s="1"/>
  <c r="L63" s="1"/>
  <c r="E65"/>
  <c r="F64"/>
  <c r="N64" s="1"/>
  <c r="I363" i="6"/>
  <c r="K363" s="1"/>
  <c r="F363"/>
  <c r="G41" i="2"/>
  <c r="H41" s="1"/>
  <c r="J41" s="1"/>
  <c r="D42" s="1"/>
  <c r="P64" i="5" l="1"/>
  <c r="S63"/>
  <c r="H64"/>
  <c r="J64" s="1"/>
  <c r="E66"/>
  <c r="F65"/>
  <c r="N65" s="1"/>
  <c r="G363" i="6"/>
  <c r="H363" s="1"/>
  <c r="J363" s="1"/>
  <c r="D364" s="1"/>
  <c r="I42" i="2"/>
  <c r="K42" s="1"/>
  <c r="F42"/>
  <c r="P65" i="5" l="1"/>
  <c r="H65"/>
  <c r="J65" s="1"/>
  <c r="E67"/>
  <c r="F66"/>
  <c r="N66" s="1"/>
  <c r="F364" i="6"/>
  <c r="I364"/>
  <c r="K364" s="1"/>
  <c r="G42" i="2"/>
  <c r="H42" s="1"/>
  <c r="J42" s="1"/>
  <c r="D43" s="1"/>
  <c r="P66" i="5" l="1"/>
  <c r="H66"/>
  <c r="J66" s="1"/>
  <c r="E68"/>
  <c r="F67"/>
  <c r="N67" s="1"/>
  <c r="G364" i="6"/>
  <c r="H364" s="1"/>
  <c r="J364" s="1"/>
  <c r="I43" i="2"/>
  <c r="K43" s="1"/>
  <c r="F43"/>
  <c r="P67" i="5" l="1"/>
  <c r="P68" s="1"/>
  <c r="D365" i="6"/>
  <c r="F365" s="1"/>
  <c r="R363" i="5"/>
  <c r="H67"/>
  <c r="J67" s="1"/>
  <c r="E69"/>
  <c r="F68"/>
  <c r="N68" s="1"/>
  <c r="G43" i="2"/>
  <c r="H43" s="1"/>
  <c r="J43" s="1"/>
  <c r="N21" i="4" s="1"/>
  <c r="I365" i="6" l="1"/>
  <c r="K365" s="1"/>
  <c r="H68" i="5"/>
  <c r="J68" s="1"/>
  <c r="E70"/>
  <c r="F69"/>
  <c r="N69" s="1"/>
  <c r="P69" s="1"/>
  <c r="G365" i="6"/>
  <c r="M22" i="4"/>
  <c r="O21"/>
  <c r="D44" i="2"/>
  <c r="I44" s="1"/>
  <c r="K44" s="1"/>
  <c r="H365" i="6" l="1"/>
  <c r="J365" s="1"/>
  <c r="D366" s="1"/>
  <c r="F366" s="1"/>
  <c r="P70" i="5"/>
  <c r="H69"/>
  <c r="J69" s="1"/>
  <c r="E71"/>
  <c r="F70"/>
  <c r="N70" s="1"/>
  <c r="F44" i="2"/>
  <c r="G44" s="1"/>
  <c r="H44" s="1"/>
  <c r="J44" s="1"/>
  <c r="D45" s="1"/>
  <c r="I366" i="6" l="1"/>
  <c r="K366" s="1"/>
  <c r="H70" i="5"/>
  <c r="J70" s="1"/>
  <c r="E72"/>
  <c r="F71"/>
  <c r="N71" s="1"/>
  <c r="P71" s="1"/>
  <c r="G366" i="6"/>
  <c r="I45" i="2"/>
  <c r="K45" s="1"/>
  <c r="F45"/>
  <c r="H366" i="6" l="1"/>
  <c r="J366" s="1"/>
  <c r="D367" s="1"/>
  <c r="F367" s="1"/>
  <c r="H71" i="5"/>
  <c r="J71" s="1"/>
  <c r="E73"/>
  <c r="F72"/>
  <c r="N72" s="1"/>
  <c r="P72" s="1"/>
  <c r="G45" i="2"/>
  <c r="H45" s="1"/>
  <c r="J45" s="1"/>
  <c r="D46" s="1"/>
  <c r="I367" i="6" l="1"/>
  <c r="K367" s="1"/>
  <c r="H72" i="5"/>
  <c r="J72" s="1"/>
  <c r="E74"/>
  <c r="F73"/>
  <c r="N73" s="1"/>
  <c r="P73" s="1"/>
  <c r="G367" i="6"/>
  <c r="I46" i="2"/>
  <c r="K46" s="1"/>
  <c r="F46"/>
  <c r="H367" i="6" l="1"/>
  <c r="J367" s="1"/>
  <c r="D368" s="1"/>
  <c r="F368" s="1"/>
  <c r="P74" i="5"/>
  <c r="H73"/>
  <c r="J73" s="1"/>
  <c r="E75"/>
  <c r="F74"/>
  <c r="N74" s="1"/>
  <c r="G46" i="2"/>
  <c r="H46" s="1"/>
  <c r="J46" s="1"/>
  <c r="D47" s="1"/>
  <c r="I368" i="6" l="1"/>
  <c r="K368" s="1"/>
  <c r="H74" i="5"/>
  <c r="J74" s="1"/>
  <c r="E76"/>
  <c r="F75"/>
  <c r="N75" s="1"/>
  <c r="P75" s="1"/>
  <c r="S75" s="1"/>
  <c r="K6" s="1"/>
  <c r="G368" i="6"/>
  <c r="I47" i="2"/>
  <c r="K47" s="1"/>
  <c r="F47"/>
  <c r="H368" i="6" l="1"/>
  <c r="J368" s="1"/>
  <c r="D369" s="1"/>
  <c r="F369" s="1"/>
  <c r="P76" i="5"/>
  <c r="H75"/>
  <c r="J75" s="1"/>
  <c r="L75" s="1"/>
  <c r="J6" s="1"/>
  <c r="L6" s="1"/>
  <c r="E77"/>
  <c r="F76"/>
  <c r="N76" s="1"/>
  <c r="G47" i="2"/>
  <c r="H47" s="1"/>
  <c r="J47" s="1"/>
  <c r="D48" s="1"/>
  <c r="I369" i="6" l="1"/>
  <c r="K369" s="1"/>
  <c r="H76" i="5"/>
  <c r="J76" s="1"/>
  <c r="E78"/>
  <c r="F77"/>
  <c r="N77" s="1"/>
  <c r="P77" s="1"/>
  <c r="G369" i="6"/>
  <c r="F48" i="2"/>
  <c r="I48"/>
  <c r="K48" s="1"/>
  <c r="H369" i="6" l="1"/>
  <c r="J369" s="1"/>
  <c r="D370" s="1"/>
  <c r="F370" s="1"/>
  <c r="H77" i="5"/>
  <c r="J77" s="1"/>
  <c r="E79"/>
  <c r="F78"/>
  <c r="N78" s="1"/>
  <c r="P78" s="1"/>
  <c r="G48" i="2"/>
  <c r="H48" s="1"/>
  <c r="J48" s="1"/>
  <c r="D49" s="1"/>
  <c r="I370" i="6" l="1"/>
  <c r="K370" s="1"/>
  <c r="P79" i="5"/>
  <c r="H78"/>
  <c r="J78" s="1"/>
  <c r="E80"/>
  <c r="F79"/>
  <c r="N79" s="1"/>
  <c r="G370" i="6"/>
  <c r="I49" i="2"/>
  <c r="K49" s="1"/>
  <c r="F49"/>
  <c r="H370" i="6" l="1"/>
  <c r="J370" s="1"/>
  <c r="D371" s="1"/>
  <c r="F371" s="1"/>
  <c r="H79" i="5"/>
  <c r="J79" s="1"/>
  <c r="E81"/>
  <c r="F80"/>
  <c r="N80" s="1"/>
  <c r="P80" s="1"/>
  <c r="G49" i="2"/>
  <c r="H49" s="1"/>
  <c r="J49" s="1"/>
  <c r="D50" s="1"/>
  <c r="I371" i="6" l="1"/>
  <c r="K371" s="1"/>
  <c r="H80" i="5"/>
  <c r="J80" s="1"/>
  <c r="E82"/>
  <c r="F81"/>
  <c r="N81" s="1"/>
  <c r="P81" s="1"/>
  <c r="G371" i="6"/>
  <c r="F50" i="2"/>
  <c r="I50"/>
  <c r="K50" s="1"/>
  <c r="H371" i="6" l="1"/>
  <c r="J371" s="1"/>
  <c r="D372" s="1"/>
  <c r="F372" s="1"/>
  <c r="P82" i="5"/>
  <c r="H81"/>
  <c r="J81" s="1"/>
  <c r="E83"/>
  <c r="F82"/>
  <c r="N82" s="1"/>
  <c r="G50" i="2"/>
  <c r="H50" s="1"/>
  <c r="J50" s="1"/>
  <c r="D51" s="1"/>
  <c r="I372" i="6" l="1"/>
  <c r="K372" s="1"/>
  <c r="H82" i="5"/>
  <c r="J82" s="1"/>
  <c r="E84"/>
  <c r="F83"/>
  <c r="N83" s="1"/>
  <c r="P83" s="1"/>
  <c r="G372" i="6"/>
  <c r="I51" i="2"/>
  <c r="K51" s="1"/>
  <c r="F51"/>
  <c r="H372" i="6" l="1"/>
  <c r="J372" s="1"/>
  <c r="D373" s="1"/>
  <c r="F373" s="1"/>
  <c r="P84" i="5"/>
  <c r="H83"/>
  <c r="J83" s="1"/>
  <c r="E85"/>
  <c r="F84"/>
  <c r="N84" s="1"/>
  <c r="G51" i="2"/>
  <c r="H51" s="1"/>
  <c r="J51" s="1"/>
  <c r="D52" s="1"/>
  <c r="I373" i="6" l="1"/>
  <c r="K373" s="1"/>
  <c r="H84" i="5"/>
  <c r="J84" s="1"/>
  <c r="E86"/>
  <c r="F85"/>
  <c r="N85" s="1"/>
  <c r="P85" s="1"/>
  <c r="G373" i="6"/>
  <c r="I52" i="2"/>
  <c r="K52" s="1"/>
  <c r="F52"/>
  <c r="H373" i="6" l="1"/>
  <c r="J373" s="1"/>
  <c r="D374" s="1"/>
  <c r="F374" s="1"/>
  <c r="P86" i="5"/>
  <c r="H85"/>
  <c r="J85" s="1"/>
  <c r="E87"/>
  <c r="F86"/>
  <c r="N86" s="1"/>
  <c r="G52" i="2"/>
  <c r="H52" s="1"/>
  <c r="J52" s="1"/>
  <c r="D53" s="1"/>
  <c r="I374" i="6" l="1"/>
  <c r="K374" s="1"/>
  <c r="H86" i="5"/>
  <c r="J86" s="1"/>
  <c r="E88"/>
  <c r="F87"/>
  <c r="N87" s="1"/>
  <c r="P87" s="1"/>
  <c r="S87" s="1"/>
  <c r="G374" i="6"/>
  <c r="F53" i="2"/>
  <c r="I53"/>
  <c r="K53" s="1"/>
  <c r="H374" i="6" l="1"/>
  <c r="J374" s="1"/>
  <c r="D375" s="1"/>
  <c r="F375" s="1"/>
  <c r="P88" i="5"/>
  <c r="H87"/>
  <c r="J87" s="1"/>
  <c r="L87" s="1"/>
  <c r="E89"/>
  <c r="F88"/>
  <c r="N88" s="1"/>
  <c r="G53" i="2"/>
  <c r="H53" s="1"/>
  <c r="J53" s="1"/>
  <c r="D54" s="1"/>
  <c r="I375" i="6" l="1"/>
  <c r="K375" s="1"/>
  <c r="P89" i="5"/>
  <c r="H88"/>
  <c r="J88" s="1"/>
  <c r="E90"/>
  <c r="F89"/>
  <c r="N89" s="1"/>
  <c r="G375" i="6"/>
  <c r="I54" i="2"/>
  <c r="K54" s="1"/>
  <c r="F54"/>
  <c r="H375" i="6" l="1"/>
  <c r="J375" s="1"/>
  <c r="D376" s="1"/>
  <c r="F376" s="1"/>
  <c r="H10" s="1"/>
  <c r="H89" i="5"/>
  <c r="J89" s="1"/>
  <c r="E91"/>
  <c r="F90"/>
  <c r="N90" s="1"/>
  <c r="P90" s="1"/>
  <c r="G54" i="2"/>
  <c r="H54" s="1"/>
  <c r="J54" s="1"/>
  <c r="D55" s="1"/>
  <c r="I376" i="6" l="1"/>
  <c r="H90" i="5"/>
  <c r="J90" s="1"/>
  <c r="E92"/>
  <c r="F91"/>
  <c r="N91" s="1"/>
  <c r="P91" s="1"/>
  <c r="K376" i="6"/>
  <c r="H11"/>
  <c r="G376"/>
  <c r="J376"/>
  <c r="I55" i="2"/>
  <c r="K55" s="1"/>
  <c r="F55"/>
  <c r="H8" i="6" l="1"/>
  <c r="H9" s="1"/>
  <c r="R375" i="5"/>
  <c r="H376" i="6"/>
  <c r="P92" i="5"/>
  <c r="H91"/>
  <c r="J91" s="1"/>
  <c r="E93"/>
  <c r="F92"/>
  <c r="N92" s="1"/>
  <c r="G55" i="2"/>
  <c r="H55" s="1"/>
  <c r="J55" s="1"/>
  <c r="N22" i="4" s="1"/>
  <c r="H92" i="5" l="1"/>
  <c r="J92" s="1"/>
  <c r="E94"/>
  <c r="F93"/>
  <c r="N93" s="1"/>
  <c r="P93" s="1"/>
  <c r="M23" i="4"/>
  <c r="O22"/>
  <c r="D56" i="2"/>
  <c r="F56" s="1"/>
  <c r="P94" i="5" l="1"/>
  <c r="H93"/>
  <c r="J93" s="1"/>
  <c r="E95"/>
  <c r="F94"/>
  <c r="N94" s="1"/>
  <c r="I56" i="2"/>
  <c r="K56" s="1"/>
  <c r="G56"/>
  <c r="P95" i="5" l="1"/>
  <c r="H94"/>
  <c r="J94" s="1"/>
  <c r="E96"/>
  <c r="F95"/>
  <c r="N95" s="1"/>
  <c r="H56" i="2"/>
  <c r="J56" s="1"/>
  <c r="D57" s="1"/>
  <c r="F57" s="1"/>
  <c r="P96" i="5" l="1"/>
  <c r="H95"/>
  <c r="J95" s="1"/>
  <c r="E97"/>
  <c r="F96"/>
  <c r="N96" s="1"/>
  <c r="I57" i="2"/>
  <c r="K57" s="1"/>
  <c r="G57"/>
  <c r="P97" i="5" l="1"/>
  <c r="H96"/>
  <c r="J96" s="1"/>
  <c r="E98"/>
  <c r="F97"/>
  <c r="N97" s="1"/>
  <c r="H57" i="2"/>
  <c r="J57" s="1"/>
  <c r="D58" s="1"/>
  <c r="F58" s="1"/>
  <c r="P98" i="5" l="1"/>
  <c r="H97"/>
  <c r="J97" s="1"/>
  <c r="E99"/>
  <c r="F98"/>
  <c r="N98" s="1"/>
  <c r="I58" i="2"/>
  <c r="K58" s="1"/>
  <c r="G58"/>
  <c r="H98" i="5" l="1"/>
  <c r="J98" s="1"/>
  <c r="E100"/>
  <c r="F99"/>
  <c r="N99" s="1"/>
  <c r="P99" s="1"/>
  <c r="S99" s="1"/>
  <c r="H58" i="2"/>
  <c r="J58" s="1"/>
  <c r="D59" s="1"/>
  <c r="F59" s="1"/>
  <c r="H99" i="5" l="1"/>
  <c r="J99" s="1"/>
  <c r="L99" s="1"/>
  <c r="E101"/>
  <c r="F100"/>
  <c r="N100" s="1"/>
  <c r="P100" s="1"/>
  <c r="I59" i="2"/>
  <c r="K59" s="1"/>
  <c r="G59"/>
  <c r="P101" i="5" l="1"/>
  <c r="H100"/>
  <c r="J100" s="1"/>
  <c r="E102"/>
  <c r="F101"/>
  <c r="N101" s="1"/>
  <c r="H59" i="2"/>
  <c r="J59" s="1"/>
  <c r="D60" s="1"/>
  <c r="F60" s="1"/>
  <c r="J101" i="5" l="1"/>
  <c r="P102"/>
  <c r="H101"/>
  <c r="E103"/>
  <c r="F102"/>
  <c r="N102" s="1"/>
  <c r="I60" i="2"/>
  <c r="K60" s="1"/>
  <c r="G60"/>
  <c r="P103" i="5" l="1"/>
  <c r="H102"/>
  <c r="J102" s="1"/>
  <c r="E104"/>
  <c r="F103"/>
  <c r="N103" s="1"/>
  <c r="H60" i="2"/>
  <c r="J60" s="1"/>
  <c r="D61" s="1"/>
  <c r="I61" s="1"/>
  <c r="K61" s="1"/>
  <c r="H103" i="5" l="1"/>
  <c r="J103" s="1"/>
  <c r="E105"/>
  <c r="F104"/>
  <c r="N104" s="1"/>
  <c r="P104" s="1"/>
  <c r="F61" i="2"/>
  <c r="G61" s="1"/>
  <c r="H61" s="1"/>
  <c r="J61" s="1"/>
  <c r="D62" s="1"/>
  <c r="H104" i="5" l="1"/>
  <c r="J104" s="1"/>
  <c r="E106"/>
  <c r="F105"/>
  <c r="N105" s="1"/>
  <c r="P105" s="1"/>
  <c r="I62" i="2"/>
  <c r="K62" s="1"/>
  <c r="F62"/>
  <c r="P106" i="5" l="1"/>
  <c r="H105"/>
  <c r="J105" s="1"/>
  <c r="E107"/>
  <c r="F106"/>
  <c r="N106" s="1"/>
  <c r="G62" i="2"/>
  <c r="H62" s="1"/>
  <c r="J62" s="1"/>
  <c r="D63" s="1"/>
  <c r="P107" i="5" l="1"/>
  <c r="H106"/>
  <c r="J106" s="1"/>
  <c r="E108"/>
  <c r="F107"/>
  <c r="N107" s="1"/>
  <c r="I63" i="2"/>
  <c r="K63" s="1"/>
  <c r="F63"/>
  <c r="J107" i="5" l="1"/>
  <c r="P108"/>
  <c r="H107"/>
  <c r="E109"/>
  <c r="F108"/>
  <c r="N108" s="1"/>
  <c r="G63" i="2"/>
  <c r="H63" s="1"/>
  <c r="J63" s="1"/>
  <c r="D64" s="1"/>
  <c r="P109" i="5" l="1"/>
  <c r="H108"/>
  <c r="J108" s="1"/>
  <c r="E110"/>
  <c r="F109"/>
  <c r="N109" s="1"/>
  <c r="I64" i="2"/>
  <c r="K64" s="1"/>
  <c r="F64"/>
  <c r="P110" i="5" l="1"/>
  <c r="H109"/>
  <c r="J109" s="1"/>
  <c r="E111"/>
  <c r="F110"/>
  <c r="N110" s="1"/>
  <c r="G64" i="2"/>
  <c r="H64" s="1"/>
  <c r="J64" s="1"/>
  <c r="D65" s="1"/>
  <c r="P111" i="5" l="1"/>
  <c r="S111" s="1"/>
  <c r="H110"/>
  <c r="J110" s="1"/>
  <c r="E112"/>
  <c r="F111"/>
  <c r="N111" s="1"/>
  <c r="I65" i="2"/>
  <c r="K65" s="1"/>
  <c r="F65"/>
  <c r="P112" i="5" l="1"/>
  <c r="H111"/>
  <c r="J111" s="1"/>
  <c r="L111" s="1"/>
  <c r="E113"/>
  <c r="F112"/>
  <c r="N112" s="1"/>
  <c r="G65" i="2"/>
  <c r="H65" s="1"/>
  <c r="J65" s="1"/>
  <c r="D66" s="1"/>
  <c r="P113" i="5" l="1"/>
  <c r="H112"/>
  <c r="J112" s="1"/>
  <c r="E114"/>
  <c r="F113"/>
  <c r="N113" s="1"/>
  <c r="I66" i="2"/>
  <c r="K66" s="1"/>
  <c r="F66"/>
  <c r="P114" i="5" l="1"/>
  <c r="H113"/>
  <c r="J113" s="1"/>
  <c r="E115"/>
  <c r="F114"/>
  <c r="N114" s="1"/>
  <c r="G66" i="2"/>
  <c r="H66" s="1"/>
  <c r="J66" s="1"/>
  <c r="D67" s="1"/>
  <c r="P115" i="5" l="1"/>
  <c r="H114"/>
  <c r="J114" s="1"/>
  <c r="E116"/>
  <c r="F115"/>
  <c r="N115" s="1"/>
  <c r="F67" i="2"/>
  <c r="I67"/>
  <c r="K67" s="1"/>
  <c r="P116" i="5" l="1"/>
  <c r="H115"/>
  <c r="J115" s="1"/>
  <c r="E117"/>
  <c r="F116"/>
  <c r="N116" s="1"/>
  <c r="G67" i="2"/>
  <c r="H67" s="1"/>
  <c r="J67" s="1"/>
  <c r="N23" i="4" s="1"/>
  <c r="P117" i="5" l="1"/>
  <c r="H116"/>
  <c r="J116" s="1"/>
  <c r="E118"/>
  <c r="F117"/>
  <c r="N117" s="1"/>
  <c r="M24" i="4"/>
  <c r="O23"/>
  <c r="D68" i="2"/>
  <c r="F68" s="1"/>
  <c r="J117" i="5" l="1"/>
  <c r="P118"/>
  <c r="H117"/>
  <c r="E119"/>
  <c r="F118"/>
  <c r="N118" s="1"/>
  <c r="I68" i="2"/>
  <c r="K68" s="1"/>
  <c r="G68"/>
  <c r="P119" i="5" l="1"/>
  <c r="H118"/>
  <c r="J118" s="1"/>
  <c r="E120"/>
  <c r="F119"/>
  <c r="N119" s="1"/>
  <c r="H68" i="2"/>
  <c r="J68" s="1"/>
  <c r="D69" s="1"/>
  <c r="I69" s="1"/>
  <c r="K69" s="1"/>
  <c r="P120" i="5" l="1"/>
  <c r="H119"/>
  <c r="J119" s="1"/>
  <c r="E121"/>
  <c r="F120"/>
  <c r="N120" s="1"/>
  <c r="F69" i="2"/>
  <c r="G69" s="1"/>
  <c r="H69" s="1"/>
  <c r="J69" s="1"/>
  <c r="D70" s="1"/>
  <c r="H120" i="5" l="1"/>
  <c r="J120" s="1"/>
  <c r="E122"/>
  <c r="F121"/>
  <c r="N121" s="1"/>
  <c r="P121" s="1"/>
  <c r="F70" i="2"/>
  <c r="I70"/>
  <c r="K70" s="1"/>
  <c r="H121" i="5" l="1"/>
  <c r="J121" s="1"/>
  <c r="E123"/>
  <c r="F122"/>
  <c r="N122" s="1"/>
  <c r="P122" s="1"/>
  <c r="G70" i="2"/>
  <c r="H70" s="1"/>
  <c r="J70" s="1"/>
  <c r="D71" s="1"/>
  <c r="P123" i="5" l="1"/>
  <c r="S123" s="1"/>
  <c r="H122"/>
  <c r="J122" s="1"/>
  <c r="E124"/>
  <c r="F123"/>
  <c r="N123" s="1"/>
  <c r="I71" i="2"/>
  <c r="K71" s="1"/>
  <c r="F71"/>
  <c r="H123" i="5" l="1"/>
  <c r="J123" s="1"/>
  <c r="L123" s="1"/>
  <c r="E125"/>
  <c r="F124"/>
  <c r="N124" s="1"/>
  <c r="P124" s="1"/>
  <c r="G71" i="2"/>
  <c r="H71" s="1"/>
  <c r="J71" s="1"/>
  <c r="D72" s="1"/>
  <c r="P125" i="5" l="1"/>
  <c r="H124"/>
  <c r="J124" s="1"/>
  <c r="E126"/>
  <c r="F125"/>
  <c r="N125" s="1"/>
  <c r="I72" i="2"/>
  <c r="K72" s="1"/>
  <c r="F72"/>
  <c r="H125" i="5" l="1"/>
  <c r="J125" s="1"/>
  <c r="E127"/>
  <c r="F126"/>
  <c r="N126" s="1"/>
  <c r="P126" s="1"/>
  <c r="G72" i="2"/>
  <c r="H72" s="1"/>
  <c r="J72" s="1"/>
  <c r="D73" s="1"/>
  <c r="P127" i="5" l="1"/>
  <c r="H126"/>
  <c r="J126" s="1"/>
  <c r="E128"/>
  <c r="F127"/>
  <c r="N127" s="1"/>
  <c r="I73" i="2"/>
  <c r="K73" s="1"/>
  <c r="F73"/>
  <c r="P128" i="5" l="1"/>
  <c r="H127"/>
  <c r="J127" s="1"/>
  <c r="E129"/>
  <c r="F128"/>
  <c r="N128" s="1"/>
  <c r="G73" i="2"/>
  <c r="H73" s="1"/>
  <c r="J73" s="1"/>
  <c r="D74" s="1"/>
  <c r="P129" i="5" l="1"/>
  <c r="H128"/>
  <c r="J128" s="1"/>
  <c r="E130"/>
  <c r="F129"/>
  <c r="N129" s="1"/>
  <c r="I74" i="2"/>
  <c r="K74" s="1"/>
  <c r="F74"/>
  <c r="P130" i="5" l="1"/>
  <c r="H129"/>
  <c r="J129" s="1"/>
  <c r="E131"/>
  <c r="F130"/>
  <c r="N130" s="1"/>
  <c r="G74" i="2"/>
  <c r="H74" s="1"/>
  <c r="J74" s="1"/>
  <c r="D75" s="1"/>
  <c r="P131" i="5" l="1"/>
  <c r="H130"/>
  <c r="J130" s="1"/>
  <c r="E132"/>
  <c r="F131"/>
  <c r="N131" s="1"/>
  <c r="I75" i="2"/>
  <c r="K75" s="1"/>
  <c r="F75"/>
  <c r="P132" i="5" l="1"/>
  <c r="H131"/>
  <c r="J131" s="1"/>
  <c r="E133"/>
  <c r="F132"/>
  <c r="N132" s="1"/>
  <c r="G75" i="2"/>
  <c r="H75" s="1"/>
  <c r="J75" s="1"/>
  <c r="D76" s="1"/>
  <c r="P133" i="5" l="1"/>
  <c r="H132"/>
  <c r="J132" s="1"/>
  <c r="E134"/>
  <c r="F133"/>
  <c r="N133" s="1"/>
  <c r="I76" i="2"/>
  <c r="K76" s="1"/>
  <c r="F76"/>
  <c r="P134" i="5" l="1"/>
  <c r="H133"/>
  <c r="J133" s="1"/>
  <c r="E135"/>
  <c r="F134"/>
  <c r="N134" s="1"/>
  <c r="G76" i="2"/>
  <c r="H76" s="1"/>
  <c r="J76" s="1"/>
  <c r="D77" s="1"/>
  <c r="P135" i="5" l="1"/>
  <c r="S135" s="1"/>
  <c r="K7" s="1"/>
  <c r="H134"/>
  <c r="J134" s="1"/>
  <c r="E136"/>
  <c r="F135"/>
  <c r="N135" s="1"/>
  <c r="I77" i="2"/>
  <c r="K77" s="1"/>
  <c r="F77"/>
  <c r="P136" i="5" l="1"/>
  <c r="H135"/>
  <c r="J135" s="1"/>
  <c r="L135" s="1"/>
  <c r="J7" s="1"/>
  <c r="L7" s="1"/>
  <c r="E137"/>
  <c r="F136"/>
  <c r="N136" s="1"/>
  <c r="G77" i="2"/>
  <c r="H77" s="1"/>
  <c r="J77" s="1"/>
  <c r="D78" s="1"/>
  <c r="H136" i="5" l="1"/>
  <c r="J136" s="1"/>
  <c r="E138"/>
  <c r="F137"/>
  <c r="N137" s="1"/>
  <c r="P137" s="1"/>
  <c r="I78" i="2"/>
  <c r="K78" s="1"/>
  <c r="F78"/>
  <c r="H137" i="5" l="1"/>
  <c r="J137" s="1"/>
  <c r="E139"/>
  <c r="F138"/>
  <c r="N138" s="1"/>
  <c r="P138" s="1"/>
  <c r="G78" i="2"/>
  <c r="H78" s="1"/>
  <c r="J78" s="1"/>
  <c r="D79" s="1"/>
  <c r="H138" i="5" l="1"/>
  <c r="J138" s="1"/>
  <c r="E140"/>
  <c r="F139"/>
  <c r="N139" s="1"/>
  <c r="P139" s="1"/>
  <c r="I79" i="2"/>
  <c r="K79" s="1"/>
  <c r="F79"/>
  <c r="H139" i="5" l="1"/>
  <c r="J139" s="1"/>
  <c r="E141"/>
  <c r="F140"/>
  <c r="N140" s="1"/>
  <c r="P140" s="1"/>
  <c r="G79" i="2"/>
  <c r="H79" s="1"/>
  <c r="J79" s="1"/>
  <c r="N24" i="4" s="1"/>
  <c r="P141" i="5" l="1"/>
  <c r="H140"/>
  <c r="J140" s="1"/>
  <c r="E142"/>
  <c r="F141"/>
  <c r="N141" s="1"/>
  <c r="M25" i="4"/>
  <c r="O24"/>
  <c r="D5" s="1"/>
  <c r="D80" i="2"/>
  <c r="F80" s="1"/>
  <c r="H141" i="5" l="1"/>
  <c r="J141" s="1"/>
  <c r="E143"/>
  <c r="F142"/>
  <c r="N142" s="1"/>
  <c r="P142" s="1"/>
  <c r="I80" i="2"/>
  <c r="K80" s="1"/>
  <c r="G80"/>
  <c r="P143" i="5" l="1"/>
  <c r="H142"/>
  <c r="J142" s="1"/>
  <c r="E144"/>
  <c r="F143"/>
  <c r="N143" s="1"/>
  <c r="H80" i="2"/>
  <c r="J80" s="1"/>
  <c r="D81" s="1"/>
  <c r="F81" s="1"/>
  <c r="P144" i="5" l="1"/>
  <c r="H143"/>
  <c r="J143" s="1"/>
  <c r="E145"/>
  <c r="F144"/>
  <c r="N144" s="1"/>
  <c r="I81" i="2"/>
  <c r="K81" s="1"/>
  <c r="G81"/>
  <c r="H144" i="5" l="1"/>
  <c r="J144" s="1"/>
  <c r="E146"/>
  <c r="F145"/>
  <c r="N145" s="1"/>
  <c r="P145" s="1"/>
  <c r="H81" i="2"/>
  <c r="J81" s="1"/>
  <c r="D82" s="1"/>
  <c r="I82" s="1"/>
  <c r="K82" s="1"/>
  <c r="H145" i="5" l="1"/>
  <c r="J145" s="1"/>
  <c r="E147"/>
  <c r="F146"/>
  <c r="N146" s="1"/>
  <c r="P146" s="1"/>
  <c r="F82" i="2"/>
  <c r="G82" s="1"/>
  <c r="H82" s="1"/>
  <c r="J82" s="1"/>
  <c r="D83" s="1"/>
  <c r="P147" i="5" l="1"/>
  <c r="S147" s="1"/>
  <c r="H146"/>
  <c r="J146" s="1"/>
  <c r="E148"/>
  <c r="F147"/>
  <c r="N147" s="1"/>
  <c r="I83" i="2"/>
  <c r="K83" s="1"/>
  <c r="F83"/>
  <c r="J147" i="5" l="1"/>
  <c r="L147" s="1"/>
  <c r="P148"/>
  <c r="H147"/>
  <c r="E149"/>
  <c r="F148"/>
  <c r="N148" s="1"/>
  <c r="G83" i="2"/>
  <c r="H83" s="1"/>
  <c r="J83" s="1"/>
  <c r="D84" s="1"/>
  <c r="H148" i="5" l="1"/>
  <c r="J148" s="1"/>
  <c r="E150"/>
  <c r="F149"/>
  <c r="N149" s="1"/>
  <c r="P149" s="1"/>
  <c r="I84" i="2"/>
  <c r="K84" s="1"/>
  <c r="F84"/>
  <c r="H149" i="5" l="1"/>
  <c r="J149" s="1"/>
  <c r="E151"/>
  <c r="F150"/>
  <c r="N150" s="1"/>
  <c r="P150" s="1"/>
  <c r="G84" i="2"/>
  <c r="H84" s="1"/>
  <c r="J84" s="1"/>
  <c r="D85" s="1"/>
  <c r="H150" i="5" l="1"/>
  <c r="J150" s="1"/>
  <c r="E152"/>
  <c r="F151"/>
  <c r="N151" s="1"/>
  <c r="P151" s="1"/>
  <c r="I85" i="2"/>
  <c r="K85" s="1"/>
  <c r="F85"/>
  <c r="P152" i="5" l="1"/>
  <c r="H151"/>
  <c r="J151" s="1"/>
  <c r="E153"/>
  <c r="F152"/>
  <c r="N152" s="1"/>
  <c r="G85" i="2"/>
  <c r="H85" s="1"/>
  <c r="J85" s="1"/>
  <c r="D86" s="1"/>
  <c r="P153" i="5" l="1"/>
  <c r="H152"/>
  <c r="J152" s="1"/>
  <c r="E154"/>
  <c r="F153"/>
  <c r="N153" s="1"/>
  <c r="I86" i="2"/>
  <c r="K86" s="1"/>
  <c r="F86"/>
  <c r="P154" i="5" l="1"/>
  <c r="H153"/>
  <c r="J153" s="1"/>
  <c r="E155"/>
  <c r="F154"/>
  <c r="N154" s="1"/>
  <c r="G86" i="2"/>
  <c r="H86" s="1"/>
  <c r="J86" s="1"/>
  <c r="D87" s="1"/>
  <c r="P155" i="5" l="1"/>
  <c r="H154"/>
  <c r="J154" s="1"/>
  <c r="E156"/>
  <c r="F155"/>
  <c r="N155" s="1"/>
  <c r="I87" i="2"/>
  <c r="K87" s="1"/>
  <c r="F87"/>
  <c r="H155" i="5" l="1"/>
  <c r="J155" s="1"/>
  <c r="E157"/>
  <c r="F156"/>
  <c r="N156" s="1"/>
  <c r="P156" s="1"/>
  <c r="G87" i="2"/>
  <c r="H87" s="1"/>
  <c r="J87" s="1"/>
  <c r="D88" s="1"/>
  <c r="H156" i="5" l="1"/>
  <c r="J156" s="1"/>
  <c r="E158"/>
  <c r="F157"/>
  <c r="N157" s="1"/>
  <c r="P157" s="1"/>
  <c r="I88" i="2"/>
  <c r="K88" s="1"/>
  <c r="F88"/>
  <c r="P158" i="5" l="1"/>
  <c r="H157"/>
  <c r="J157" s="1"/>
  <c r="E159"/>
  <c r="F158"/>
  <c r="N158" s="1"/>
  <c r="G88" i="2"/>
  <c r="H88" s="1"/>
  <c r="J88" s="1"/>
  <c r="D89" s="1"/>
  <c r="P159" i="5" l="1"/>
  <c r="S159" s="1"/>
  <c r="H158"/>
  <c r="J158" s="1"/>
  <c r="E160"/>
  <c r="F159"/>
  <c r="N159" s="1"/>
  <c r="F89" i="2"/>
  <c r="I89"/>
  <c r="K89" s="1"/>
  <c r="H159" i="5" l="1"/>
  <c r="J159" s="1"/>
  <c r="L159" s="1"/>
  <c r="E161"/>
  <c r="F160"/>
  <c r="N160" s="1"/>
  <c r="P160" s="1"/>
  <c r="G89" i="2"/>
  <c r="H89" s="1"/>
  <c r="J89" s="1"/>
  <c r="D90" s="1"/>
  <c r="H160" i="5" l="1"/>
  <c r="J160" s="1"/>
  <c r="E162"/>
  <c r="F161"/>
  <c r="N161" s="1"/>
  <c r="P161" s="1"/>
  <c r="I90" i="2"/>
  <c r="K90" s="1"/>
  <c r="F90"/>
  <c r="P162" i="5" l="1"/>
  <c r="H161"/>
  <c r="J161" s="1"/>
  <c r="E163"/>
  <c r="F162"/>
  <c r="N162" s="1"/>
  <c r="G90" i="2"/>
  <c r="H90" s="1"/>
  <c r="J90" s="1"/>
  <c r="D91" s="1"/>
  <c r="P163" i="5" l="1"/>
  <c r="H162"/>
  <c r="J162" s="1"/>
  <c r="E164"/>
  <c r="F163"/>
  <c r="N163" s="1"/>
  <c r="I91" i="2"/>
  <c r="K91" s="1"/>
  <c r="F91"/>
  <c r="H163" i="5" l="1"/>
  <c r="J163" s="1"/>
  <c r="E165"/>
  <c r="F164"/>
  <c r="N164" s="1"/>
  <c r="P164" s="1"/>
  <c r="G91" i="2"/>
  <c r="H91" s="1"/>
  <c r="J91" s="1"/>
  <c r="N25" i="4" s="1"/>
  <c r="H164" i="5" l="1"/>
  <c r="J164" s="1"/>
  <c r="E166"/>
  <c r="F165"/>
  <c r="N165" s="1"/>
  <c r="P165" s="1"/>
  <c r="M26" i="4"/>
  <c r="O25"/>
  <c r="D92" i="2"/>
  <c r="F92" s="1"/>
  <c r="P166" i="5" l="1"/>
  <c r="H165"/>
  <c r="J165" s="1"/>
  <c r="E167"/>
  <c r="F166"/>
  <c r="N166" s="1"/>
  <c r="I92" i="2"/>
  <c r="K92" s="1"/>
  <c r="G92"/>
  <c r="P167" i="5" l="1"/>
  <c r="H166"/>
  <c r="J166" s="1"/>
  <c r="E168"/>
  <c r="F167"/>
  <c r="N167" s="1"/>
  <c r="H92" i="2"/>
  <c r="J92" s="1"/>
  <c r="D93" s="1"/>
  <c r="F93" s="1"/>
  <c r="H167" i="5" l="1"/>
  <c r="J167" s="1"/>
  <c r="E169"/>
  <c r="F168"/>
  <c r="N168" s="1"/>
  <c r="P168" s="1"/>
  <c r="I93" i="2"/>
  <c r="K93" s="1"/>
  <c r="G93"/>
  <c r="H168" i="5" l="1"/>
  <c r="J168" s="1"/>
  <c r="E170"/>
  <c r="F169"/>
  <c r="N169" s="1"/>
  <c r="P169" s="1"/>
  <c r="H93" i="2"/>
  <c r="J93" s="1"/>
  <c r="D94" s="1"/>
  <c r="F94" s="1"/>
  <c r="P170" i="5" l="1"/>
  <c r="H169"/>
  <c r="J169" s="1"/>
  <c r="E171"/>
  <c r="F170"/>
  <c r="N170" s="1"/>
  <c r="I94" i="2"/>
  <c r="K94" s="1"/>
  <c r="G94"/>
  <c r="P171" i="5" l="1"/>
  <c r="S171" s="1"/>
  <c r="H170"/>
  <c r="J170" s="1"/>
  <c r="E172"/>
  <c r="F171"/>
  <c r="N171" s="1"/>
  <c r="H94" i="2"/>
  <c r="J94" s="1"/>
  <c r="D95" s="1"/>
  <c r="F95" s="1"/>
  <c r="H171" i="5" l="1"/>
  <c r="J171" s="1"/>
  <c r="L171" s="1"/>
  <c r="E173"/>
  <c r="F172"/>
  <c r="N172" s="1"/>
  <c r="P172" s="1"/>
  <c r="I95" i="2"/>
  <c r="K95" s="1"/>
  <c r="G95"/>
  <c r="H172" i="5" l="1"/>
  <c r="J172" s="1"/>
  <c r="E174"/>
  <c r="F173"/>
  <c r="N173" s="1"/>
  <c r="P173" s="1"/>
  <c r="H95" i="2"/>
  <c r="J95" s="1"/>
  <c r="D96" s="1"/>
  <c r="F96" s="1"/>
  <c r="P174" i="5" l="1"/>
  <c r="H173"/>
  <c r="J173" s="1"/>
  <c r="E175"/>
  <c r="F174"/>
  <c r="N174" s="1"/>
  <c r="I96" i="2"/>
  <c r="K96" s="1"/>
  <c r="G96"/>
  <c r="P175" i="5" l="1"/>
  <c r="H174"/>
  <c r="J174" s="1"/>
  <c r="E176"/>
  <c r="F175"/>
  <c r="N175" s="1"/>
  <c r="H96" i="2"/>
  <c r="J96" s="1"/>
  <c r="D97" s="1"/>
  <c r="F97" s="1"/>
  <c r="H175" i="5" l="1"/>
  <c r="J175" s="1"/>
  <c r="E177"/>
  <c r="F176"/>
  <c r="N176" s="1"/>
  <c r="P176" s="1"/>
  <c r="I97" i="2"/>
  <c r="K97" s="1"/>
  <c r="G97"/>
  <c r="H176" i="5" l="1"/>
  <c r="J176" s="1"/>
  <c r="E178"/>
  <c r="F177"/>
  <c r="N177" s="1"/>
  <c r="P177" s="1"/>
  <c r="H97" i="2"/>
  <c r="J97" s="1"/>
  <c r="D98" s="1"/>
  <c r="F98" s="1"/>
  <c r="P178" i="5" l="1"/>
  <c r="H177"/>
  <c r="J177" s="1"/>
  <c r="E179"/>
  <c r="F178"/>
  <c r="N178" s="1"/>
  <c r="I98" i="2"/>
  <c r="K98" s="1"/>
  <c r="G98"/>
  <c r="H178" i="5" l="1"/>
  <c r="J178" s="1"/>
  <c r="E180"/>
  <c r="F179"/>
  <c r="N179" s="1"/>
  <c r="P179" s="1"/>
  <c r="H98" i="2"/>
  <c r="J98" s="1"/>
  <c r="D99" s="1"/>
  <c r="F99" s="1"/>
  <c r="H179" i="5" l="1"/>
  <c r="J179" s="1"/>
  <c r="E181"/>
  <c r="F180"/>
  <c r="N180" s="1"/>
  <c r="P180" s="1"/>
  <c r="I99" i="2"/>
  <c r="K99" s="1"/>
  <c r="G99"/>
  <c r="H180" i="5" l="1"/>
  <c r="J180" s="1"/>
  <c r="E182"/>
  <c r="F181"/>
  <c r="N181" s="1"/>
  <c r="P181" s="1"/>
  <c r="H99" i="2"/>
  <c r="J99" s="1"/>
  <c r="D100" s="1"/>
  <c r="F100" s="1"/>
  <c r="H181" i="5" l="1"/>
  <c r="J181" s="1"/>
  <c r="E183"/>
  <c r="F182"/>
  <c r="N182" s="1"/>
  <c r="P182" s="1"/>
  <c r="I100" i="2"/>
  <c r="K100" s="1"/>
  <c r="G100"/>
  <c r="H182" i="5" l="1"/>
  <c r="J182" s="1"/>
  <c r="E184"/>
  <c r="F183"/>
  <c r="N183" s="1"/>
  <c r="H100" i="2"/>
  <c r="J100" s="1"/>
  <c r="D101" s="1"/>
  <c r="F101" s="1"/>
  <c r="P183" i="5" l="1"/>
  <c r="H183"/>
  <c r="J183" s="1"/>
  <c r="L183" s="1"/>
  <c r="E185"/>
  <c r="F184"/>
  <c r="N184" s="1"/>
  <c r="I101" i="2"/>
  <c r="K101" s="1"/>
  <c r="G101"/>
  <c r="P184" i="5" l="1"/>
  <c r="P185" s="1"/>
  <c r="S183"/>
  <c r="H184"/>
  <c r="J184" s="1"/>
  <c r="E186"/>
  <c r="F185"/>
  <c r="N185" s="1"/>
  <c r="H101" i="2"/>
  <c r="J101" s="1"/>
  <c r="D102" s="1"/>
  <c r="F102" s="1"/>
  <c r="P186" i="5" l="1"/>
  <c r="H185"/>
  <c r="J185" s="1"/>
  <c r="E187"/>
  <c r="F186"/>
  <c r="N186" s="1"/>
  <c r="I102" i="2"/>
  <c r="K102" s="1"/>
  <c r="G102"/>
  <c r="P187" i="5" l="1"/>
  <c r="H186"/>
  <c r="J186" s="1"/>
  <c r="E188"/>
  <c r="F187"/>
  <c r="N187" s="1"/>
  <c r="H102" i="2"/>
  <c r="J102" s="1"/>
  <c r="D103" s="1"/>
  <c r="F103" s="1"/>
  <c r="P188" i="5" l="1"/>
  <c r="H187"/>
  <c r="J187" s="1"/>
  <c r="E189"/>
  <c r="F188"/>
  <c r="N188" s="1"/>
  <c r="I103" i="2"/>
  <c r="K103" s="1"/>
  <c r="G103"/>
  <c r="P189" i="5" l="1"/>
  <c r="H188"/>
  <c r="J188" s="1"/>
  <c r="E190"/>
  <c r="F189"/>
  <c r="N189" s="1"/>
  <c r="H103" i="2"/>
  <c r="J103" s="1"/>
  <c r="N26" i="4" s="1"/>
  <c r="H189" i="5" l="1"/>
  <c r="J189" s="1"/>
  <c r="E191"/>
  <c r="F190"/>
  <c r="N190" s="1"/>
  <c r="P190" s="1"/>
  <c r="M27" i="4"/>
  <c r="O26"/>
  <c r="D104" i="2"/>
  <c r="F104" s="1"/>
  <c r="G104" s="1"/>
  <c r="P191" i="5" l="1"/>
  <c r="H190"/>
  <c r="J190" s="1"/>
  <c r="E192"/>
  <c r="F191"/>
  <c r="N191" s="1"/>
  <c r="I104" i="2"/>
  <c r="K104" s="1"/>
  <c r="H191" i="5" l="1"/>
  <c r="J191" s="1"/>
  <c r="E193"/>
  <c r="F192"/>
  <c r="N192" s="1"/>
  <c r="P192" s="1"/>
  <c r="H104" i="2"/>
  <c r="J104" s="1"/>
  <c r="D105" s="1"/>
  <c r="F105" s="1"/>
  <c r="G105" s="1"/>
  <c r="P193" i="5" l="1"/>
  <c r="H192"/>
  <c r="J192" s="1"/>
  <c r="E194"/>
  <c r="F193"/>
  <c r="N193" s="1"/>
  <c r="I105" i="2"/>
  <c r="K105" s="1"/>
  <c r="P194" i="5" l="1"/>
  <c r="H193"/>
  <c r="J193" s="1"/>
  <c r="E195"/>
  <c r="F194"/>
  <c r="N194" s="1"/>
  <c r="H105" i="2"/>
  <c r="J105" s="1"/>
  <c r="D106" s="1"/>
  <c r="F106" s="1"/>
  <c r="G106" s="1"/>
  <c r="H194" i="5" l="1"/>
  <c r="J194" s="1"/>
  <c r="E196"/>
  <c r="F195"/>
  <c r="N195" s="1"/>
  <c r="P195" s="1"/>
  <c r="S195" s="1"/>
  <c r="K8" s="1"/>
  <c r="I106" i="2"/>
  <c r="K106" s="1"/>
  <c r="H195" i="5" l="1"/>
  <c r="J195" s="1"/>
  <c r="L195" s="1"/>
  <c r="J8" s="1"/>
  <c r="L8" s="1"/>
  <c r="E197"/>
  <c r="F196"/>
  <c r="N196" s="1"/>
  <c r="P196" s="1"/>
  <c r="H106" i="2"/>
  <c r="J106" s="1"/>
  <c r="D107" s="1"/>
  <c r="F107" s="1"/>
  <c r="G107" s="1"/>
  <c r="H196" i="5" l="1"/>
  <c r="J196" s="1"/>
  <c r="E198"/>
  <c r="F197"/>
  <c r="N197" s="1"/>
  <c r="P197" s="1"/>
  <c r="I107" i="2"/>
  <c r="K107" s="1"/>
  <c r="H197" i="5" l="1"/>
  <c r="J197" s="1"/>
  <c r="E199"/>
  <c r="F198"/>
  <c r="N198" s="1"/>
  <c r="P198" s="1"/>
  <c r="H107" i="2"/>
  <c r="J107" s="1"/>
  <c r="D108" s="1"/>
  <c r="F108" s="1"/>
  <c r="G108" s="1"/>
  <c r="H198" i="5" l="1"/>
  <c r="J198" s="1"/>
  <c r="E200"/>
  <c r="F199"/>
  <c r="N199" s="1"/>
  <c r="P199" s="1"/>
  <c r="I108" i="2"/>
  <c r="K108" s="1"/>
  <c r="P200" i="5" l="1"/>
  <c r="H199"/>
  <c r="J199" s="1"/>
  <c r="E201"/>
  <c r="F200"/>
  <c r="N200" s="1"/>
  <c r="H108" i="2"/>
  <c r="J108" s="1"/>
  <c r="D109" s="1"/>
  <c r="F109" s="1"/>
  <c r="G109" s="1"/>
  <c r="P201" i="5" l="1"/>
  <c r="H200"/>
  <c r="J200" s="1"/>
  <c r="E202"/>
  <c r="F201"/>
  <c r="N201" s="1"/>
  <c r="I109" i="2"/>
  <c r="K109" s="1"/>
  <c r="P202" i="5" l="1"/>
  <c r="H201"/>
  <c r="J201" s="1"/>
  <c r="E203"/>
  <c r="F202"/>
  <c r="N202" s="1"/>
  <c r="H109" i="2"/>
  <c r="J109" s="1"/>
  <c r="D110" s="1"/>
  <c r="I110" s="1"/>
  <c r="K110" s="1"/>
  <c r="H202" i="5" l="1"/>
  <c r="J202" s="1"/>
  <c r="E204"/>
  <c r="F203"/>
  <c r="N203" s="1"/>
  <c r="P203" s="1"/>
  <c r="F110" i="2"/>
  <c r="G110" s="1"/>
  <c r="H110" s="1"/>
  <c r="J110" s="1"/>
  <c r="D111" s="1"/>
  <c r="F111" s="1"/>
  <c r="H203" i="5" l="1"/>
  <c r="J203" s="1"/>
  <c r="E205"/>
  <c r="F204"/>
  <c r="N204" s="1"/>
  <c r="P204" s="1"/>
  <c r="I111" i="2"/>
  <c r="K111" s="1"/>
  <c r="G111"/>
  <c r="P205" i="5" l="1"/>
  <c r="H204"/>
  <c r="J204" s="1"/>
  <c r="E206"/>
  <c r="F205"/>
  <c r="N205" s="1"/>
  <c r="H111" i="2"/>
  <c r="J111" s="1"/>
  <c r="D112" s="1"/>
  <c r="F112" s="1"/>
  <c r="P206" i="5" l="1"/>
  <c r="H205"/>
  <c r="J205" s="1"/>
  <c r="E207"/>
  <c r="F206"/>
  <c r="N206" s="1"/>
  <c r="I112" i="2"/>
  <c r="K112" s="1"/>
  <c r="G112"/>
  <c r="P207" i="5" l="1"/>
  <c r="S207" s="1"/>
  <c r="H206"/>
  <c r="J206" s="1"/>
  <c r="E208"/>
  <c r="F207"/>
  <c r="N207" s="1"/>
  <c r="H112" i="2"/>
  <c r="J112" s="1"/>
  <c r="D113" s="1"/>
  <c r="F113" s="1"/>
  <c r="P208" i="5" l="1"/>
  <c r="H207"/>
  <c r="J207" s="1"/>
  <c r="L207" s="1"/>
  <c r="E209"/>
  <c r="F208"/>
  <c r="N208" s="1"/>
  <c r="I113" i="2"/>
  <c r="K113" s="1"/>
  <c r="G113"/>
  <c r="H208" i="5" l="1"/>
  <c r="J208" s="1"/>
  <c r="E210"/>
  <c r="F209"/>
  <c r="N209" s="1"/>
  <c r="P209" s="1"/>
  <c r="H113" i="2"/>
  <c r="J113" s="1"/>
  <c r="D114" s="1"/>
  <c r="F114" s="1"/>
  <c r="P210" i="5" l="1"/>
  <c r="H209"/>
  <c r="J209" s="1"/>
  <c r="E211"/>
  <c r="F210"/>
  <c r="N210" s="1"/>
  <c r="I114" i="2"/>
  <c r="K114" s="1"/>
  <c r="G114"/>
  <c r="H210" i="5" l="1"/>
  <c r="J210" s="1"/>
  <c r="E212"/>
  <c r="F211"/>
  <c r="N211" s="1"/>
  <c r="P211" s="1"/>
  <c r="H114" i="2"/>
  <c r="J114" s="1"/>
  <c r="D115" s="1"/>
  <c r="F115" s="1"/>
  <c r="P212" i="5" l="1"/>
  <c r="H211"/>
  <c r="J211" s="1"/>
  <c r="E213"/>
  <c r="F212"/>
  <c r="N212" s="1"/>
  <c r="I115" i="2"/>
  <c r="K115" s="1"/>
  <c r="G115"/>
  <c r="H212" i="5" l="1"/>
  <c r="J212" s="1"/>
  <c r="E214"/>
  <c r="F213"/>
  <c r="N213" s="1"/>
  <c r="P213" s="1"/>
  <c r="H115" i="2"/>
  <c r="J115" s="1"/>
  <c r="N27" i="4" s="1"/>
  <c r="H213" i="5" l="1"/>
  <c r="J213" s="1"/>
  <c r="E215"/>
  <c r="F214"/>
  <c r="N214" s="1"/>
  <c r="P214" s="1"/>
  <c r="M28" i="4"/>
  <c r="O27"/>
  <c r="D116" i="2"/>
  <c r="F116" s="1"/>
  <c r="G116" s="1"/>
  <c r="P215" i="5" l="1"/>
  <c r="H214"/>
  <c r="J214" s="1"/>
  <c r="E216"/>
  <c r="F215"/>
  <c r="N215" s="1"/>
  <c r="I116" i="2"/>
  <c r="K116" s="1"/>
  <c r="H215" i="5" l="1"/>
  <c r="J215" s="1"/>
  <c r="E217"/>
  <c r="F216"/>
  <c r="N216" s="1"/>
  <c r="P216" s="1"/>
  <c r="H116" i="2"/>
  <c r="J116" s="1"/>
  <c r="D117" s="1"/>
  <c r="F117" s="1"/>
  <c r="G117" s="1"/>
  <c r="P217" i="5" l="1"/>
  <c r="H216"/>
  <c r="J216" s="1"/>
  <c r="E218"/>
  <c r="F217"/>
  <c r="N217" s="1"/>
  <c r="I117" i="2"/>
  <c r="K117" s="1"/>
  <c r="H217" i="5" l="1"/>
  <c r="J217" s="1"/>
  <c r="E219"/>
  <c r="F218"/>
  <c r="N218" s="1"/>
  <c r="P218" s="1"/>
  <c r="H117" i="2"/>
  <c r="J117" s="1"/>
  <c r="D118" s="1"/>
  <c r="F118" s="1"/>
  <c r="G118" s="1"/>
  <c r="P219" i="5" l="1"/>
  <c r="S219" s="1"/>
  <c r="H218"/>
  <c r="J218" s="1"/>
  <c r="E220"/>
  <c r="F219"/>
  <c r="N219" s="1"/>
  <c r="I118" i="2"/>
  <c r="K118" s="1"/>
  <c r="H219" i="5" l="1"/>
  <c r="J219" s="1"/>
  <c r="L219" s="1"/>
  <c r="E221"/>
  <c r="F220"/>
  <c r="N220" s="1"/>
  <c r="P220" s="1"/>
  <c r="H118" i="2"/>
  <c r="J118" s="1"/>
  <c r="D119" s="1"/>
  <c r="I119" s="1"/>
  <c r="K119" s="1"/>
  <c r="H220" i="5" l="1"/>
  <c r="J220" s="1"/>
  <c r="E222"/>
  <c r="F221"/>
  <c r="N221" s="1"/>
  <c r="P221" s="1"/>
  <c r="F119" i="2"/>
  <c r="G119" s="1"/>
  <c r="H119" s="1"/>
  <c r="J119" s="1"/>
  <c r="D120" s="1"/>
  <c r="F120" s="1"/>
  <c r="H221" i="5" l="1"/>
  <c r="J221" s="1"/>
  <c r="E223"/>
  <c r="F222"/>
  <c r="N222" s="1"/>
  <c r="P222" s="1"/>
  <c r="I120" i="2"/>
  <c r="K120" s="1"/>
  <c r="G120"/>
  <c r="P223" i="5" l="1"/>
  <c r="H222"/>
  <c r="J222" s="1"/>
  <c r="E224"/>
  <c r="F223"/>
  <c r="N223" s="1"/>
  <c r="H120" i="2"/>
  <c r="J120" s="1"/>
  <c r="D121" s="1"/>
  <c r="I121" s="1"/>
  <c r="K121" s="1"/>
  <c r="H223" i="5" l="1"/>
  <c r="J223" s="1"/>
  <c r="E225"/>
  <c r="F224"/>
  <c r="N224" s="1"/>
  <c r="P224" s="1"/>
  <c r="F121" i="2"/>
  <c r="G121" s="1"/>
  <c r="H121" s="1"/>
  <c r="J121" s="1"/>
  <c r="D122" s="1"/>
  <c r="H224" i="5" l="1"/>
  <c r="J224" s="1"/>
  <c r="E226"/>
  <c r="F225"/>
  <c r="N225" s="1"/>
  <c r="P225" s="1"/>
  <c r="I122" i="2"/>
  <c r="K122" s="1"/>
  <c r="F122"/>
  <c r="H225" i="5" l="1"/>
  <c r="J225" s="1"/>
  <c r="E227"/>
  <c r="F226"/>
  <c r="N226" s="1"/>
  <c r="P226" s="1"/>
  <c r="G122" i="2"/>
  <c r="H122" s="1"/>
  <c r="J122" s="1"/>
  <c r="D123" s="1"/>
  <c r="H226" i="5" l="1"/>
  <c r="J226" s="1"/>
  <c r="E228"/>
  <c r="F227"/>
  <c r="N227" s="1"/>
  <c r="P227" s="1"/>
  <c r="I123" i="2"/>
  <c r="K123" s="1"/>
  <c r="F123"/>
  <c r="P228" i="5" l="1"/>
  <c r="H227"/>
  <c r="J227" s="1"/>
  <c r="E229"/>
  <c r="F228"/>
  <c r="N228" s="1"/>
  <c r="G123" i="2"/>
  <c r="H123" s="1"/>
  <c r="J123" s="1"/>
  <c r="D124" s="1"/>
  <c r="H228" i="5" l="1"/>
  <c r="J228" s="1"/>
  <c r="E230"/>
  <c r="F229"/>
  <c r="N229" s="1"/>
  <c r="P229" s="1"/>
  <c r="I124" i="2"/>
  <c r="K124" s="1"/>
  <c r="F124"/>
  <c r="P230" i="5" l="1"/>
  <c r="H229"/>
  <c r="J229" s="1"/>
  <c r="E231"/>
  <c r="F230"/>
  <c r="N230" s="1"/>
  <c r="G124" i="2"/>
  <c r="H124" s="1"/>
  <c r="J124" s="1"/>
  <c r="D125" s="1"/>
  <c r="H230" i="5" l="1"/>
  <c r="J230" s="1"/>
  <c r="E232"/>
  <c r="F231"/>
  <c r="N231" s="1"/>
  <c r="P231" s="1"/>
  <c r="S231" s="1"/>
  <c r="I125" i="2"/>
  <c r="K125" s="1"/>
  <c r="F125"/>
  <c r="P232" i="5" l="1"/>
  <c r="H231"/>
  <c r="J231" s="1"/>
  <c r="L231" s="1"/>
  <c r="E233"/>
  <c r="F232"/>
  <c r="N232" s="1"/>
  <c r="G125" i="2"/>
  <c r="H125" s="1"/>
  <c r="J125" s="1"/>
  <c r="D126" s="1"/>
  <c r="H232" i="5" l="1"/>
  <c r="J232" s="1"/>
  <c r="E234"/>
  <c r="F233"/>
  <c r="N233" s="1"/>
  <c r="P233" s="1"/>
  <c r="I126" i="2"/>
  <c r="K126" s="1"/>
  <c r="F126"/>
  <c r="P234" i="5" l="1"/>
  <c r="H233"/>
  <c r="J233" s="1"/>
  <c r="E235"/>
  <c r="F234"/>
  <c r="N234" s="1"/>
  <c r="G126" i="2"/>
  <c r="H126" s="1"/>
  <c r="J126" s="1"/>
  <c r="D127" s="1"/>
  <c r="P235" i="5" l="1"/>
  <c r="H234"/>
  <c r="J234" s="1"/>
  <c r="E236"/>
  <c r="F235"/>
  <c r="N235" s="1"/>
  <c r="F127" i="2"/>
  <c r="I127"/>
  <c r="K127" s="1"/>
  <c r="H235" i="5" l="1"/>
  <c r="J235" s="1"/>
  <c r="E237"/>
  <c r="F236"/>
  <c r="N236" s="1"/>
  <c r="P236" s="1"/>
  <c r="G127" i="2"/>
  <c r="H127" s="1"/>
  <c r="J127" s="1"/>
  <c r="N28" i="4" s="1"/>
  <c r="H236" i="5" l="1"/>
  <c r="J236" s="1"/>
  <c r="E238"/>
  <c r="F237"/>
  <c r="N237" s="1"/>
  <c r="P237" s="1"/>
  <c r="M29" i="4"/>
  <c r="O28"/>
  <c r="D128" i="2"/>
  <c r="F128" s="1"/>
  <c r="P238" i="5" l="1"/>
  <c r="H237"/>
  <c r="J237" s="1"/>
  <c r="E239"/>
  <c r="F238"/>
  <c r="N238" s="1"/>
  <c r="I128" i="2"/>
  <c r="K128" s="1"/>
  <c r="G128"/>
  <c r="H238" i="5" l="1"/>
  <c r="J238" s="1"/>
  <c r="E240"/>
  <c r="F239"/>
  <c r="N239" s="1"/>
  <c r="P239" s="1"/>
  <c r="H128" i="2"/>
  <c r="J128" s="1"/>
  <c r="D129" s="1"/>
  <c r="F129" s="1"/>
  <c r="H239" i="5" l="1"/>
  <c r="J239" s="1"/>
  <c r="E241"/>
  <c r="F240"/>
  <c r="N240" s="1"/>
  <c r="P240" s="1"/>
  <c r="I129" i="2"/>
  <c r="K129" s="1"/>
  <c r="G129"/>
  <c r="H240" i="5" l="1"/>
  <c r="J240" s="1"/>
  <c r="E242"/>
  <c r="F241"/>
  <c r="N241" s="1"/>
  <c r="P241" s="1"/>
  <c r="H129" i="2"/>
  <c r="J129" s="1"/>
  <c r="D130" s="1"/>
  <c r="F130" s="1"/>
  <c r="P242" i="5" l="1"/>
  <c r="H241"/>
  <c r="J241" s="1"/>
  <c r="E243"/>
  <c r="F242"/>
  <c r="N242" s="1"/>
  <c r="I130" i="2"/>
  <c r="K130" s="1"/>
  <c r="G130"/>
  <c r="P243" i="5" l="1"/>
  <c r="S243" s="1"/>
  <c r="H242"/>
  <c r="J242" s="1"/>
  <c r="E244"/>
  <c r="F243"/>
  <c r="N243" s="1"/>
  <c r="H130" i="2"/>
  <c r="J130" s="1"/>
  <c r="D131" s="1"/>
  <c r="I131" s="1"/>
  <c r="K131" s="1"/>
  <c r="H243" i="5" l="1"/>
  <c r="J243" s="1"/>
  <c r="L243" s="1"/>
  <c r="E245"/>
  <c r="F244"/>
  <c r="N244" s="1"/>
  <c r="P244" s="1"/>
  <c r="F131" i="2"/>
  <c r="G131" s="1"/>
  <c r="H131" s="1"/>
  <c r="J131" s="1"/>
  <c r="D132" s="1"/>
  <c r="H244" i="5" l="1"/>
  <c r="J244" s="1"/>
  <c r="E246"/>
  <c r="F245"/>
  <c r="N245" s="1"/>
  <c r="P245" s="1"/>
  <c r="I132" i="2"/>
  <c r="K132" s="1"/>
  <c r="F132"/>
  <c r="P246" i="5" l="1"/>
  <c r="H245"/>
  <c r="J245" s="1"/>
  <c r="E247"/>
  <c r="F246"/>
  <c r="N246" s="1"/>
  <c r="G132" i="2"/>
  <c r="H132" s="1"/>
  <c r="J132" s="1"/>
  <c r="D133" s="1"/>
  <c r="P247" i="5" l="1"/>
  <c r="H246"/>
  <c r="J246" s="1"/>
  <c r="E248"/>
  <c r="F247"/>
  <c r="N247" s="1"/>
  <c r="I133" i="2"/>
  <c r="K133" s="1"/>
  <c r="F133"/>
  <c r="J247" i="5" l="1"/>
  <c r="P248"/>
  <c r="H247"/>
  <c r="E249"/>
  <c r="F248"/>
  <c r="N248" s="1"/>
  <c r="G133" i="2"/>
  <c r="H133" s="1"/>
  <c r="J133" s="1"/>
  <c r="D134" s="1"/>
  <c r="H248" i="5" l="1"/>
  <c r="J248" s="1"/>
  <c r="E250"/>
  <c r="F249"/>
  <c r="N249" s="1"/>
  <c r="P249" s="1"/>
  <c r="F134" i="2"/>
  <c r="I134"/>
  <c r="K134" s="1"/>
  <c r="P250" i="5" l="1"/>
  <c r="H249"/>
  <c r="J249" s="1"/>
  <c r="E251"/>
  <c r="F250"/>
  <c r="N250" s="1"/>
  <c r="G134" i="2"/>
  <c r="H134" s="1"/>
  <c r="J134" s="1"/>
  <c r="D135" s="1"/>
  <c r="P251" i="5" l="1"/>
  <c r="H250"/>
  <c r="J250" s="1"/>
  <c r="E252"/>
  <c r="F251"/>
  <c r="N251" s="1"/>
  <c r="I135" i="2"/>
  <c r="K135" s="1"/>
  <c r="F135"/>
  <c r="J251" i="5" l="1"/>
  <c r="P252"/>
  <c r="H251"/>
  <c r="E253"/>
  <c r="F252"/>
  <c r="N252" s="1"/>
  <c r="G135" i="2"/>
  <c r="H135" s="1"/>
  <c r="J135" s="1"/>
  <c r="D136" s="1"/>
  <c r="H252" i="5" l="1"/>
  <c r="J252" s="1"/>
  <c r="E254"/>
  <c r="F253"/>
  <c r="N253" s="1"/>
  <c r="P253" s="1"/>
  <c r="I136" i="2"/>
  <c r="K136" s="1"/>
  <c r="F136"/>
  <c r="J253" i="5" l="1"/>
  <c r="P254"/>
  <c r="H253"/>
  <c r="E255"/>
  <c r="F254"/>
  <c r="N254" s="1"/>
  <c r="G136" i="2"/>
  <c r="H136" s="1"/>
  <c r="J136" s="1"/>
  <c r="D137" s="1"/>
  <c r="P255" i="5" l="1"/>
  <c r="S255" s="1"/>
  <c r="K9" s="1"/>
  <c r="H254"/>
  <c r="J254" s="1"/>
  <c r="E256"/>
  <c r="F255"/>
  <c r="N255" s="1"/>
  <c r="I137" i="2"/>
  <c r="K137" s="1"/>
  <c r="F137"/>
  <c r="P256" i="5" l="1"/>
  <c r="H255"/>
  <c r="J255" s="1"/>
  <c r="L255" s="1"/>
  <c r="J9" s="1"/>
  <c r="L9" s="1"/>
  <c r="E257"/>
  <c r="F256"/>
  <c r="N256" s="1"/>
  <c r="G137" i="2"/>
  <c r="H137" s="1"/>
  <c r="J137" s="1"/>
  <c r="D138" s="1"/>
  <c r="H256" i="5" l="1"/>
  <c r="J256" s="1"/>
  <c r="E258"/>
  <c r="F257"/>
  <c r="N257" s="1"/>
  <c r="P257" s="1"/>
  <c r="I138" i="2"/>
  <c r="K138" s="1"/>
  <c r="F138"/>
  <c r="P258" i="5" l="1"/>
  <c r="H257"/>
  <c r="J257" s="1"/>
  <c r="E259"/>
  <c r="F258"/>
  <c r="N258" s="1"/>
  <c r="G138" i="2"/>
  <c r="H138" s="1"/>
  <c r="J138" s="1"/>
  <c r="D139" s="1"/>
  <c r="P259" i="5" l="1"/>
  <c r="H258"/>
  <c r="J258" s="1"/>
  <c r="E260"/>
  <c r="F259"/>
  <c r="N259" s="1"/>
  <c r="I139" i="2"/>
  <c r="F139"/>
  <c r="H259" i="5" l="1"/>
  <c r="J259" s="1"/>
  <c r="E261"/>
  <c r="F260"/>
  <c r="N260" s="1"/>
  <c r="P260" s="1"/>
  <c r="K139" i="2"/>
  <c r="G139"/>
  <c r="P261" i="5" l="1"/>
  <c r="H260"/>
  <c r="J260" s="1"/>
  <c r="E262"/>
  <c r="F261"/>
  <c r="N261" s="1"/>
  <c r="H139" i="2"/>
  <c r="J139" s="1"/>
  <c r="N29" i="4" s="1"/>
  <c r="H261" i="5" l="1"/>
  <c r="J261" s="1"/>
  <c r="E263"/>
  <c r="F262"/>
  <c r="N262" s="1"/>
  <c r="P262" s="1"/>
  <c r="M30" i="4"/>
  <c r="O29"/>
  <c r="D6" s="1"/>
  <c r="D140" i="2"/>
  <c r="F140" s="1"/>
  <c r="P263" i="5" l="1"/>
  <c r="H262"/>
  <c r="J262" s="1"/>
  <c r="E264"/>
  <c r="F263"/>
  <c r="N263" s="1"/>
  <c r="I140" i="2"/>
  <c r="K140" s="1"/>
  <c r="G140"/>
  <c r="P264" i="5" l="1"/>
  <c r="H263"/>
  <c r="J263" s="1"/>
  <c r="E265"/>
  <c r="F264"/>
  <c r="N264" s="1"/>
  <c r="H140" i="2"/>
  <c r="J140" s="1"/>
  <c r="D141" s="1"/>
  <c r="P265" i="5" l="1"/>
  <c r="H264"/>
  <c r="J264" s="1"/>
  <c r="E266"/>
  <c r="F265"/>
  <c r="N265" s="1"/>
  <c r="F141" i="2"/>
  <c r="I141"/>
  <c r="H265" i="5" l="1"/>
  <c r="J265" s="1"/>
  <c r="E267"/>
  <c r="F266"/>
  <c r="N266" s="1"/>
  <c r="P266" s="1"/>
  <c r="G141" i="2"/>
  <c r="K141"/>
  <c r="H266" i="5" l="1"/>
  <c r="J266" s="1"/>
  <c r="E268"/>
  <c r="F267"/>
  <c r="N267" s="1"/>
  <c r="P267" s="1"/>
  <c r="S267" s="1"/>
  <c r="H141" i="2"/>
  <c r="J141" s="1"/>
  <c r="D142" s="1"/>
  <c r="P268" i="5" l="1"/>
  <c r="H267"/>
  <c r="J267" s="1"/>
  <c r="L267" s="1"/>
  <c r="E269"/>
  <c r="F268"/>
  <c r="N268" s="1"/>
  <c r="I142" i="2"/>
  <c r="F142"/>
  <c r="H268" i="5" l="1"/>
  <c r="J268" s="1"/>
  <c r="E270"/>
  <c r="F269"/>
  <c r="N269" s="1"/>
  <c r="P269" s="1"/>
  <c r="K142" i="2"/>
  <c r="G142"/>
  <c r="P270" i="5" l="1"/>
  <c r="H269"/>
  <c r="J269" s="1"/>
  <c r="E271"/>
  <c r="F270"/>
  <c r="N270" s="1"/>
  <c r="H142" i="2"/>
  <c r="J142" s="1"/>
  <c r="D143" s="1"/>
  <c r="H270" i="5" l="1"/>
  <c r="J270" s="1"/>
  <c r="E272"/>
  <c r="F271"/>
  <c r="N271" s="1"/>
  <c r="P271" s="1"/>
  <c r="F143" i="2"/>
  <c r="I143"/>
  <c r="P272" i="5" l="1"/>
  <c r="H271"/>
  <c r="J271" s="1"/>
  <c r="E273"/>
  <c r="F272"/>
  <c r="N272" s="1"/>
  <c r="G143" i="2"/>
  <c r="K143"/>
  <c r="H272" i="5" l="1"/>
  <c r="J272" s="1"/>
  <c r="E274"/>
  <c r="F273"/>
  <c r="N273" s="1"/>
  <c r="P273" s="1"/>
  <c r="H143" i="2"/>
  <c r="J143" s="1"/>
  <c r="D144" s="1"/>
  <c r="P274" i="5" l="1"/>
  <c r="H273"/>
  <c r="J273" s="1"/>
  <c r="E275"/>
  <c r="F274"/>
  <c r="N274" s="1"/>
  <c r="I144" i="2"/>
  <c r="F144"/>
  <c r="H274" i="5" l="1"/>
  <c r="J274" s="1"/>
  <c r="E276"/>
  <c r="F275"/>
  <c r="N275" s="1"/>
  <c r="P275" s="1"/>
  <c r="K144" i="2"/>
  <c r="G144"/>
  <c r="H144" s="1"/>
  <c r="J144" s="1"/>
  <c r="D145" s="1"/>
  <c r="P276" i="5" l="1"/>
  <c r="H275"/>
  <c r="J275" s="1"/>
  <c r="E277"/>
  <c r="F276"/>
  <c r="N276" s="1"/>
  <c r="I145" i="2"/>
  <c r="K145" s="1"/>
  <c r="F145"/>
  <c r="P277" i="5" l="1"/>
  <c r="H276"/>
  <c r="J276" s="1"/>
  <c r="E278"/>
  <c r="F277"/>
  <c r="N277" s="1"/>
  <c r="G145" i="2"/>
  <c r="H145" s="1"/>
  <c r="J145" s="1"/>
  <c r="D146" s="1"/>
  <c r="H277" i="5" l="1"/>
  <c r="J277" s="1"/>
  <c r="E279"/>
  <c r="F278"/>
  <c r="N278" s="1"/>
  <c r="P278" s="1"/>
  <c r="I146" i="2"/>
  <c r="K146" s="1"/>
  <c r="F146"/>
  <c r="P279" i="5" l="1"/>
  <c r="S279" s="1"/>
  <c r="H278"/>
  <c r="J278" s="1"/>
  <c r="E280"/>
  <c r="F279"/>
  <c r="N279" s="1"/>
  <c r="G146" i="2"/>
  <c r="H146" s="1"/>
  <c r="J146" s="1"/>
  <c r="D147" s="1"/>
  <c r="P280" i="5" l="1"/>
  <c r="H279"/>
  <c r="J279" s="1"/>
  <c r="L279" s="1"/>
  <c r="E281"/>
  <c r="F280"/>
  <c r="N280" s="1"/>
  <c r="I147" i="2"/>
  <c r="K147" s="1"/>
  <c r="F147"/>
  <c r="H280" i="5" l="1"/>
  <c r="J280" s="1"/>
  <c r="E282"/>
  <c r="F281"/>
  <c r="N281" s="1"/>
  <c r="P281" s="1"/>
  <c r="G147" i="2"/>
  <c r="H147" s="1"/>
  <c r="J147" s="1"/>
  <c r="D148" s="1"/>
  <c r="J281" i="5" l="1"/>
  <c r="P282"/>
  <c r="H281"/>
  <c r="E283"/>
  <c r="F282"/>
  <c r="N282" s="1"/>
  <c r="F148" i="2"/>
  <c r="I148"/>
  <c r="K148" s="1"/>
  <c r="P283" i="5" l="1"/>
  <c r="H282"/>
  <c r="J282" s="1"/>
  <c r="E284"/>
  <c r="F283"/>
  <c r="N283" s="1"/>
  <c r="G148" i="2"/>
  <c r="H148" s="1"/>
  <c r="J148" s="1"/>
  <c r="D149" s="1"/>
  <c r="P284" i="5" l="1"/>
  <c r="H283"/>
  <c r="J283" s="1"/>
  <c r="E285"/>
  <c r="F284"/>
  <c r="N284" s="1"/>
  <c r="F149" i="2"/>
  <c r="I149"/>
  <c r="K149" s="1"/>
  <c r="H284" i="5" l="1"/>
  <c r="J284" s="1"/>
  <c r="E286"/>
  <c r="F285"/>
  <c r="N285" s="1"/>
  <c r="P285" s="1"/>
  <c r="G149" i="2"/>
  <c r="H149" s="1"/>
  <c r="J149" s="1"/>
  <c r="D150" s="1"/>
  <c r="P286" i="5" l="1"/>
  <c r="H285"/>
  <c r="J285" s="1"/>
  <c r="E287"/>
  <c r="F286"/>
  <c r="N286" s="1"/>
  <c r="I150" i="2"/>
  <c r="K150" s="1"/>
  <c r="F150"/>
  <c r="H286" i="5" l="1"/>
  <c r="J286" s="1"/>
  <c r="E288"/>
  <c r="F287"/>
  <c r="N287" s="1"/>
  <c r="P287" s="1"/>
  <c r="G150" i="2"/>
  <c r="H150" s="1"/>
  <c r="J150" s="1"/>
  <c r="D151" s="1"/>
  <c r="H287" i="5" l="1"/>
  <c r="J287" s="1"/>
  <c r="E289"/>
  <c r="F288"/>
  <c r="N288" s="1"/>
  <c r="P288" s="1"/>
  <c r="I151" i="2"/>
  <c r="K151" s="1"/>
  <c r="F151"/>
  <c r="P289" i="5" l="1"/>
  <c r="H288"/>
  <c r="J288" s="1"/>
  <c r="E290"/>
  <c r="F289"/>
  <c r="N289" s="1"/>
  <c r="G151" i="2"/>
  <c r="H151" s="1"/>
  <c r="J151" s="1"/>
  <c r="N30" i="4" s="1"/>
  <c r="H289" i="5" l="1"/>
  <c r="J289" s="1"/>
  <c r="E291"/>
  <c r="F290"/>
  <c r="N290" s="1"/>
  <c r="P290" s="1"/>
  <c r="M31" i="4"/>
  <c r="O30"/>
  <c r="D152" i="2"/>
  <c r="F152" s="1"/>
  <c r="P291" i="5" l="1"/>
  <c r="S291" s="1"/>
  <c r="H290"/>
  <c r="J290" s="1"/>
  <c r="E292"/>
  <c r="F291"/>
  <c r="N291" s="1"/>
  <c r="I152" i="2"/>
  <c r="K152" s="1"/>
  <c r="G152"/>
  <c r="H291" i="5" l="1"/>
  <c r="J291" s="1"/>
  <c r="L291" s="1"/>
  <c r="E293"/>
  <c r="F292"/>
  <c r="N292" s="1"/>
  <c r="P292" s="1"/>
  <c r="H152" i="2"/>
  <c r="J152" s="1"/>
  <c r="D153" s="1"/>
  <c r="F153" s="1"/>
  <c r="P293" i="5" l="1"/>
  <c r="H292"/>
  <c r="J292" s="1"/>
  <c r="E294"/>
  <c r="F293"/>
  <c r="N293" s="1"/>
  <c r="I153" i="2"/>
  <c r="K153" s="1"/>
  <c r="G153"/>
  <c r="P294" i="5" l="1"/>
  <c r="H293"/>
  <c r="J293" s="1"/>
  <c r="E295"/>
  <c r="F294"/>
  <c r="N294" s="1"/>
  <c r="H153" i="2"/>
  <c r="J153" s="1"/>
  <c r="D154" s="1"/>
  <c r="F154" s="1"/>
  <c r="H294" i="5" l="1"/>
  <c r="J294" s="1"/>
  <c r="E296"/>
  <c r="F295"/>
  <c r="N295" s="1"/>
  <c r="P295" s="1"/>
  <c r="I154" i="2"/>
  <c r="K154" s="1"/>
  <c r="G154"/>
  <c r="H295" i="5" l="1"/>
  <c r="J295" s="1"/>
  <c r="E297"/>
  <c r="F296"/>
  <c r="N296" s="1"/>
  <c r="P296" s="1"/>
  <c r="H154" i="2"/>
  <c r="J154" s="1"/>
  <c r="D155" s="1"/>
  <c r="I155" s="1"/>
  <c r="K155" s="1"/>
  <c r="H296" i="5" l="1"/>
  <c r="J296" s="1"/>
  <c r="E298"/>
  <c r="F297"/>
  <c r="N297" s="1"/>
  <c r="P297" s="1"/>
  <c r="F155" i="2"/>
  <c r="G155" s="1"/>
  <c r="H155" s="1"/>
  <c r="J155" s="1"/>
  <c r="D156" s="1"/>
  <c r="H297" i="5" l="1"/>
  <c r="J297" s="1"/>
  <c r="E299"/>
  <c r="F298"/>
  <c r="N298" s="1"/>
  <c r="P298" s="1"/>
  <c r="F156" i="2"/>
  <c r="I156"/>
  <c r="K156" s="1"/>
  <c r="H298" i="5" l="1"/>
  <c r="J298" s="1"/>
  <c r="E300"/>
  <c r="F299"/>
  <c r="N299" s="1"/>
  <c r="P299" s="1"/>
  <c r="G156" i="2"/>
  <c r="H156" s="1"/>
  <c r="J156" s="1"/>
  <c r="D157" s="1"/>
  <c r="P300" i="5" l="1"/>
  <c r="H299"/>
  <c r="J299" s="1"/>
  <c r="E301"/>
  <c r="F300"/>
  <c r="N300" s="1"/>
  <c r="I157" i="2"/>
  <c r="K157" s="1"/>
  <c r="F157"/>
  <c r="H300" i="5" l="1"/>
  <c r="J300" s="1"/>
  <c r="E302"/>
  <c r="F301"/>
  <c r="N301" s="1"/>
  <c r="P301" s="1"/>
  <c r="G157" i="2"/>
  <c r="H157" s="1"/>
  <c r="J157" s="1"/>
  <c r="D158" s="1"/>
  <c r="P302" i="5" l="1"/>
  <c r="H301"/>
  <c r="J301" s="1"/>
  <c r="E303"/>
  <c r="F302"/>
  <c r="N302" s="1"/>
  <c r="I158" i="2"/>
  <c r="K158" s="1"/>
  <c r="F158"/>
  <c r="H302" i="5" l="1"/>
  <c r="J302" s="1"/>
  <c r="E304"/>
  <c r="F303"/>
  <c r="N303" s="1"/>
  <c r="P303" s="1"/>
  <c r="S303" s="1"/>
  <c r="G158" i="2"/>
  <c r="H158" s="1"/>
  <c r="J158" s="1"/>
  <c r="D159" s="1"/>
  <c r="H303" i="5" l="1"/>
  <c r="J303" s="1"/>
  <c r="L303" s="1"/>
  <c r="E305"/>
  <c r="F304"/>
  <c r="N304" s="1"/>
  <c r="P304" s="1"/>
  <c r="I159" i="2"/>
  <c r="K159" s="1"/>
  <c r="F159"/>
  <c r="H304" i="5" l="1"/>
  <c r="J304" s="1"/>
  <c r="E306"/>
  <c r="F305"/>
  <c r="N305" s="1"/>
  <c r="P305" s="1"/>
  <c r="G159" i="2"/>
  <c r="H159" s="1"/>
  <c r="J159" s="1"/>
  <c r="D160" s="1"/>
  <c r="P306" i="5" l="1"/>
  <c r="H305"/>
  <c r="J305" s="1"/>
  <c r="E307"/>
  <c r="F306"/>
  <c r="N306" s="1"/>
  <c r="I160" i="2"/>
  <c r="K160" s="1"/>
  <c r="F160"/>
  <c r="H306" i="5" l="1"/>
  <c r="J306" s="1"/>
  <c r="E308"/>
  <c r="F307"/>
  <c r="N307" s="1"/>
  <c r="P307" s="1"/>
  <c r="G160" i="2"/>
  <c r="H160" s="1"/>
  <c r="J160" s="1"/>
  <c r="D161" s="1"/>
  <c r="H307" i="5" l="1"/>
  <c r="J307" s="1"/>
  <c r="E309"/>
  <c r="F308"/>
  <c r="N308" s="1"/>
  <c r="P308" s="1"/>
  <c r="F161" i="2"/>
  <c r="I161"/>
  <c r="K161" s="1"/>
  <c r="H308" i="5" l="1"/>
  <c r="J308" s="1"/>
  <c r="E310"/>
  <c r="F309"/>
  <c r="N309" s="1"/>
  <c r="P309" s="1"/>
  <c r="G161" i="2"/>
  <c r="H161" s="1"/>
  <c r="J161" s="1"/>
  <c r="D162" s="1"/>
  <c r="H309" i="5" l="1"/>
  <c r="J309" s="1"/>
  <c r="E311"/>
  <c r="F310"/>
  <c r="N310" s="1"/>
  <c r="P310" s="1"/>
  <c r="I162" i="2"/>
  <c r="K162" s="1"/>
  <c r="F162"/>
  <c r="H310" i="5" l="1"/>
  <c r="J310" s="1"/>
  <c r="E312"/>
  <c r="F311"/>
  <c r="N311" s="1"/>
  <c r="P311" s="1"/>
  <c r="G162" i="2"/>
  <c r="H162" s="1"/>
  <c r="J162" s="1"/>
  <c r="D163" s="1"/>
  <c r="P312" i="5" l="1"/>
  <c r="H311"/>
  <c r="J311" s="1"/>
  <c r="E313"/>
  <c r="F312"/>
  <c r="N312" s="1"/>
  <c r="I163" i="2"/>
  <c r="K163" s="1"/>
  <c r="F163"/>
  <c r="P313" i="5" l="1"/>
  <c r="H312"/>
  <c r="J312" s="1"/>
  <c r="E314"/>
  <c r="F313"/>
  <c r="N313" s="1"/>
  <c r="G163" i="2"/>
  <c r="H163" s="1"/>
  <c r="J163" s="1"/>
  <c r="N31" i="4" s="1"/>
  <c r="P314" i="5" l="1"/>
  <c r="H313"/>
  <c r="J313" s="1"/>
  <c r="E315"/>
  <c r="F314"/>
  <c r="N314" s="1"/>
  <c r="M32" i="4"/>
  <c r="O31"/>
  <c r="D164" i="2"/>
  <c r="I164" s="1"/>
  <c r="K164" s="1"/>
  <c r="H314" i="5" l="1"/>
  <c r="J314" s="1"/>
  <c r="E316"/>
  <c r="F315"/>
  <c r="N315" s="1"/>
  <c r="P315" s="1"/>
  <c r="S315" s="1"/>
  <c r="K10" s="1"/>
  <c r="F164" i="2"/>
  <c r="G164" s="1"/>
  <c r="H164" s="1"/>
  <c r="J164" s="1"/>
  <c r="D165" s="1"/>
  <c r="H315" i="5" l="1"/>
  <c r="J315" s="1"/>
  <c r="L315" s="1"/>
  <c r="J10" s="1"/>
  <c r="L10" s="1"/>
  <c r="E317"/>
  <c r="F316"/>
  <c r="N316" s="1"/>
  <c r="P316" s="1"/>
  <c r="I165" i="2"/>
  <c r="K165" s="1"/>
  <c r="F165"/>
  <c r="H316" i="5" l="1"/>
  <c r="J316" s="1"/>
  <c r="E318"/>
  <c r="F317"/>
  <c r="N317" s="1"/>
  <c r="P317" s="1"/>
  <c r="G165" i="2"/>
  <c r="H165" s="1"/>
  <c r="J165" s="1"/>
  <c r="D166" s="1"/>
  <c r="H317" i="5" l="1"/>
  <c r="J317" s="1"/>
  <c r="E319"/>
  <c r="F318"/>
  <c r="N318" s="1"/>
  <c r="P318" s="1"/>
  <c r="I166" i="2"/>
  <c r="K166" s="1"/>
  <c r="F166"/>
  <c r="H318" i="5" l="1"/>
  <c r="J318" s="1"/>
  <c r="E320"/>
  <c r="F319"/>
  <c r="N319" s="1"/>
  <c r="P319" s="1"/>
  <c r="G166" i="2"/>
  <c r="H166" s="1"/>
  <c r="J166" s="1"/>
  <c r="D167" s="1"/>
  <c r="P320" i="5" l="1"/>
  <c r="H319"/>
  <c r="J319" s="1"/>
  <c r="E321"/>
  <c r="F320"/>
  <c r="N320" s="1"/>
  <c r="I167" i="2"/>
  <c r="K167" s="1"/>
  <c r="F167"/>
  <c r="H320" i="5" l="1"/>
  <c r="J320" s="1"/>
  <c r="E322"/>
  <c r="F321"/>
  <c r="N321" s="1"/>
  <c r="P321" s="1"/>
  <c r="G167" i="2"/>
  <c r="H167" s="1"/>
  <c r="J167" s="1"/>
  <c r="D168" s="1"/>
  <c r="P322" i="5" l="1"/>
  <c r="H321"/>
  <c r="J321" s="1"/>
  <c r="E323"/>
  <c r="F322"/>
  <c r="N322" s="1"/>
  <c r="I168" i="2"/>
  <c r="K168" s="1"/>
  <c r="F168"/>
  <c r="P323" i="5" l="1"/>
  <c r="H322"/>
  <c r="J322" s="1"/>
  <c r="E324"/>
  <c r="F323"/>
  <c r="N323" s="1"/>
  <c r="G168" i="2"/>
  <c r="H168" s="1"/>
  <c r="J168" s="1"/>
  <c r="D169" s="1"/>
  <c r="H323" i="5" l="1"/>
  <c r="J323" s="1"/>
  <c r="E325"/>
  <c r="F324"/>
  <c r="N324" s="1"/>
  <c r="P324" s="1"/>
  <c r="I169" i="2"/>
  <c r="K169" s="1"/>
  <c r="F169"/>
  <c r="P325" i="5" l="1"/>
  <c r="H324"/>
  <c r="J324" s="1"/>
  <c r="E326"/>
  <c r="F325"/>
  <c r="N325" s="1"/>
  <c r="G169" i="2"/>
  <c r="H169" s="1"/>
  <c r="J169" s="1"/>
  <c r="D170" s="1"/>
  <c r="H325" i="5" l="1"/>
  <c r="J325" s="1"/>
  <c r="E327"/>
  <c r="F326"/>
  <c r="N326" s="1"/>
  <c r="P326" s="1"/>
  <c r="F170" i="2"/>
  <c r="I170"/>
  <c r="K170" s="1"/>
  <c r="P327" i="5" l="1"/>
  <c r="S327" s="1"/>
  <c r="H326"/>
  <c r="J326" s="1"/>
  <c r="E328"/>
  <c r="F327"/>
  <c r="N327" s="1"/>
  <c r="G170" i="2"/>
  <c r="H170" s="1"/>
  <c r="J170" s="1"/>
  <c r="D171" s="1"/>
  <c r="H327" i="5" l="1"/>
  <c r="J327" s="1"/>
  <c r="L327" s="1"/>
  <c r="E329"/>
  <c r="F328"/>
  <c r="N328" s="1"/>
  <c r="P328" s="1"/>
  <c r="I171" i="2"/>
  <c r="K171" s="1"/>
  <c r="F171"/>
  <c r="P329" i="5" l="1"/>
  <c r="H328"/>
  <c r="J328" s="1"/>
  <c r="E330"/>
  <c r="F329"/>
  <c r="N329" s="1"/>
  <c r="G171" i="2"/>
  <c r="H171" s="1"/>
  <c r="J171" s="1"/>
  <c r="D172" s="1"/>
  <c r="H329" i="5" l="1"/>
  <c r="J329" s="1"/>
  <c r="E331"/>
  <c r="F330"/>
  <c r="N330" s="1"/>
  <c r="P330" s="1"/>
  <c r="I172" i="2"/>
  <c r="K172" s="1"/>
  <c r="F172"/>
  <c r="P331" i="5" l="1"/>
  <c r="H330"/>
  <c r="J330" s="1"/>
  <c r="E332"/>
  <c r="F331"/>
  <c r="N331" s="1"/>
  <c r="G172" i="2"/>
  <c r="H172" s="1"/>
  <c r="J172" s="1"/>
  <c r="D173" s="1"/>
  <c r="P332" i="5" l="1"/>
  <c r="H331"/>
  <c r="J331" s="1"/>
  <c r="E333"/>
  <c r="F332"/>
  <c r="N332" s="1"/>
  <c r="F173" i="2"/>
  <c r="I173"/>
  <c r="K173" s="1"/>
  <c r="H332" i="5" l="1"/>
  <c r="J332" s="1"/>
  <c r="E334"/>
  <c r="F333"/>
  <c r="N333" s="1"/>
  <c r="P333" s="1"/>
  <c r="G173" i="2"/>
  <c r="H173" s="1"/>
  <c r="J173" s="1"/>
  <c r="D174" s="1"/>
  <c r="P334" i="5" l="1"/>
  <c r="H333"/>
  <c r="J333" s="1"/>
  <c r="E335"/>
  <c r="F334"/>
  <c r="N334" s="1"/>
  <c r="I174" i="2"/>
  <c r="K174" s="1"/>
  <c r="F174"/>
  <c r="P335" i="5" l="1"/>
  <c r="H334"/>
  <c r="J334" s="1"/>
  <c r="E336"/>
  <c r="F335"/>
  <c r="N335" s="1"/>
  <c r="G174" i="2"/>
  <c r="H174" s="1"/>
  <c r="J174" s="1"/>
  <c r="D175" s="1"/>
  <c r="H335" i="5" l="1"/>
  <c r="J335" s="1"/>
  <c r="E337"/>
  <c r="F336"/>
  <c r="N336" s="1"/>
  <c r="P336" s="1"/>
  <c r="F175" i="2"/>
  <c r="I175"/>
  <c r="K175" s="1"/>
  <c r="P337" i="5" l="1"/>
  <c r="H336"/>
  <c r="J336" s="1"/>
  <c r="E338"/>
  <c r="F337"/>
  <c r="N337" s="1"/>
  <c r="G175" i="2"/>
  <c r="H175" s="1"/>
  <c r="J175" s="1"/>
  <c r="N32" i="4" s="1"/>
  <c r="P338" i="5" l="1"/>
  <c r="H337"/>
  <c r="J337" s="1"/>
  <c r="E339"/>
  <c r="F338"/>
  <c r="N338" s="1"/>
  <c r="M33" i="4"/>
  <c r="O32"/>
  <c r="D176" i="2"/>
  <c r="I176" s="1"/>
  <c r="K176" s="1"/>
  <c r="H338" i="5" l="1"/>
  <c r="J338" s="1"/>
  <c r="E340"/>
  <c r="F339"/>
  <c r="N339" s="1"/>
  <c r="P339" s="1"/>
  <c r="S339" s="1"/>
  <c r="F176" i="2"/>
  <c r="G176" s="1"/>
  <c r="H176" s="1"/>
  <c r="J176" s="1"/>
  <c r="D177" s="1"/>
  <c r="P340" i="5" l="1"/>
  <c r="H339"/>
  <c r="J339" s="1"/>
  <c r="L339" s="1"/>
  <c r="E341"/>
  <c r="F340"/>
  <c r="N340" s="1"/>
  <c r="I177" i="2"/>
  <c r="K177" s="1"/>
  <c r="F177"/>
  <c r="H340" i="5" l="1"/>
  <c r="J340" s="1"/>
  <c r="E342"/>
  <c r="F341"/>
  <c r="N341" s="1"/>
  <c r="P341" s="1"/>
  <c r="G177" i="2"/>
  <c r="H177" s="1"/>
  <c r="J177" s="1"/>
  <c r="D178" s="1"/>
  <c r="P342" i="5" l="1"/>
  <c r="H341"/>
  <c r="J341" s="1"/>
  <c r="E343"/>
  <c r="F342"/>
  <c r="N342" s="1"/>
  <c r="I178" i="2"/>
  <c r="K178" s="1"/>
  <c r="F178"/>
  <c r="P343" i="5" l="1"/>
  <c r="H342"/>
  <c r="J342" s="1"/>
  <c r="E344"/>
  <c r="F343"/>
  <c r="N343" s="1"/>
  <c r="G178" i="2"/>
  <c r="H178" s="1"/>
  <c r="J178" s="1"/>
  <c r="D179" s="1"/>
  <c r="P344" i="5" l="1"/>
  <c r="H343"/>
  <c r="J343" s="1"/>
  <c r="E345"/>
  <c r="F344"/>
  <c r="N344" s="1"/>
  <c r="I179" i="2"/>
  <c r="K179" s="1"/>
  <c r="F179"/>
  <c r="H344" i="5" l="1"/>
  <c r="J344" s="1"/>
  <c r="E346"/>
  <c r="F345"/>
  <c r="N345" s="1"/>
  <c r="P345" s="1"/>
  <c r="G179" i="2"/>
  <c r="H179" s="1"/>
  <c r="J179" s="1"/>
  <c r="D180" s="1"/>
  <c r="H345" i="5" l="1"/>
  <c r="J345" s="1"/>
  <c r="E347"/>
  <c r="F346"/>
  <c r="N346" s="1"/>
  <c r="P346" s="1"/>
  <c r="I180" i="2"/>
  <c r="K180" s="1"/>
  <c r="F180"/>
  <c r="H346" i="5" l="1"/>
  <c r="J346" s="1"/>
  <c r="E348"/>
  <c r="F347"/>
  <c r="N347" s="1"/>
  <c r="P347" s="1"/>
  <c r="G180" i="2"/>
  <c r="H180" s="1"/>
  <c r="J180" s="1"/>
  <c r="D181" s="1"/>
  <c r="H347" i="5" l="1"/>
  <c r="J347" s="1"/>
  <c r="E349"/>
  <c r="F348"/>
  <c r="N348" s="1"/>
  <c r="P348" s="1"/>
  <c r="I181" i="2"/>
  <c r="K181" s="1"/>
  <c r="F181"/>
  <c r="H348" i="5" l="1"/>
  <c r="J348" s="1"/>
  <c r="E350"/>
  <c r="F349"/>
  <c r="N349" s="1"/>
  <c r="P349" s="1"/>
  <c r="G181" i="2"/>
  <c r="H181" s="1"/>
  <c r="J181" s="1"/>
  <c r="D182" s="1"/>
  <c r="P350" i="5" l="1"/>
  <c r="H349"/>
  <c r="J349" s="1"/>
  <c r="E351"/>
  <c r="F350"/>
  <c r="N350" s="1"/>
  <c r="I182" i="2"/>
  <c r="K182" s="1"/>
  <c r="F182"/>
  <c r="P351" i="5" l="1"/>
  <c r="S351" s="1"/>
  <c r="H350"/>
  <c r="J350" s="1"/>
  <c r="E352"/>
  <c r="F351"/>
  <c r="N351" s="1"/>
  <c r="G182" i="2"/>
  <c r="H182" s="1"/>
  <c r="J182" s="1"/>
  <c r="D183" s="1"/>
  <c r="P352" i="5" l="1"/>
  <c r="H351"/>
  <c r="J351" s="1"/>
  <c r="L351" s="1"/>
  <c r="E353"/>
  <c r="F352"/>
  <c r="N352" s="1"/>
  <c r="I183" i="2"/>
  <c r="K183" s="1"/>
  <c r="F183"/>
  <c r="H352" i="5" l="1"/>
  <c r="J352" s="1"/>
  <c r="E354"/>
  <c r="F353"/>
  <c r="N353" s="1"/>
  <c r="P353" s="1"/>
  <c r="G183" i="2"/>
  <c r="H183" s="1"/>
  <c r="J183" s="1"/>
  <c r="D184" s="1"/>
  <c r="H353" i="5" l="1"/>
  <c r="J353" s="1"/>
  <c r="E355"/>
  <c r="F354"/>
  <c r="N354" s="1"/>
  <c r="P354" s="1"/>
  <c r="I184" i="2"/>
  <c r="K184" s="1"/>
  <c r="F184"/>
  <c r="H354" i="5" l="1"/>
  <c r="J354" s="1"/>
  <c r="E356"/>
  <c r="F355"/>
  <c r="N355" s="1"/>
  <c r="P355" s="1"/>
  <c r="G184" i="2"/>
  <c r="H184" s="1"/>
  <c r="J184" s="1"/>
  <c r="D185" s="1"/>
  <c r="P356" i="5" l="1"/>
  <c r="H355"/>
  <c r="J355" s="1"/>
  <c r="E357"/>
  <c r="F356"/>
  <c r="N356" s="1"/>
  <c r="F185" i="2"/>
  <c r="I185"/>
  <c r="K185" s="1"/>
  <c r="P357" i="5" l="1"/>
  <c r="H356"/>
  <c r="J356" s="1"/>
  <c r="E358"/>
  <c r="F357"/>
  <c r="N357" s="1"/>
  <c r="G185" i="2"/>
  <c r="H185" s="1"/>
  <c r="J185" s="1"/>
  <c r="D186" s="1"/>
  <c r="H357" i="5" l="1"/>
  <c r="J357" s="1"/>
  <c r="E359"/>
  <c r="F358"/>
  <c r="N358" s="1"/>
  <c r="P358" s="1"/>
  <c r="I186" i="2"/>
  <c r="K186" s="1"/>
  <c r="F186"/>
  <c r="H358" i="5" l="1"/>
  <c r="J358" s="1"/>
  <c r="E360"/>
  <c r="F359"/>
  <c r="N359" s="1"/>
  <c r="P359" s="1"/>
  <c r="G186" i="2"/>
  <c r="H186" s="1"/>
  <c r="J186" s="1"/>
  <c r="D187" s="1"/>
  <c r="P360" i="5" l="1"/>
  <c r="H359"/>
  <c r="J359" s="1"/>
  <c r="E361"/>
  <c r="F360"/>
  <c r="N360" s="1"/>
  <c r="F187" i="2"/>
  <c r="I187"/>
  <c r="K187" s="1"/>
  <c r="P361" i="5" l="1"/>
  <c r="H360"/>
  <c r="J360" s="1"/>
  <c r="E362"/>
  <c r="F361"/>
  <c r="N361" s="1"/>
  <c r="G187" i="2"/>
  <c r="H187" s="1"/>
  <c r="J187" s="1"/>
  <c r="J361" i="5" l="1"/>
  <c r="P362"/>
  <c r="H361"/>
  <c r="E363"/>
  <c r="F362"/>
  <c r="N362" s="1"/>
  <c r="D188" i="2"/>
  <c r="F188" s="1"/>
  <c r="N33" i="4"/>
  <c r="H362" i="5" l="1"/>
  <c r="J362" s="1"/>
  <c r="E364"/>
  <c r="F363"/>
  <c r="N363" s="1"/>
  <c r="P363" s="1"/>
  <c r="S363" s="1"/>
  <c r="M34" i="4"/>
  <c r="O33"/>
  <c r="I188" i="2"/>
  <c r="K188" s="1"/>
  <c r="G188"/>
  <c r="H363" i="5" l="1"/>
  <c r="J363" s="1"/>
  <c r="L363" s="1"/>
  <c r="E365"/>
  <c r="F364"/>
  <c r="N364" s="1"/>
  <c r="P364" s="1"/>
  <c r="H188" i="2"/>
  <c r="J188" s="1"/>
  <c r="D189" s="1"/>
  <c r="F189" s="1"/>
  <c r="P365" i="5" l="1"/>
  <c r="H364"/>
  <c r="J364" s="1"/>
  <c r="E366"/>
  <c r="F365"/>
  <c r="N365" s="1"/>
  <c r="I189" i="2"/>
  <c r="K189" s="1"/>
  <c r="G189"/>
  <c r="H365" i="5" l="1"/>
  <c r="J365" s="1"/>
  <c r="E367"/>
  <c r="F366"/>
  <c r="N366" s="1"/>
  <c r="P366" s="1"/>
  <c r="H189" i="2"/>
  <c r="J189" s="1"/>
  <c r="D190" s="1"/>
  <c r="I190" s="1"/>
  <c r="K190" s="1"/>
  <c r="P367" i="5" l="1"/>
  <c r="H366"/>
  <c r="J366" s="1"/>
  <c r="E368"/>
  <c r="F367"/>
  <c r="N367" s="1"/>
  <c r="F190" i="2"/>
  <c r="G190" s="1"/>
  <c r="H190" s="1"/>
  <c r="J190" s="1"/>
  <c r="D191" s="1"/>
  <c r="H367" i="5" l="1"/>
  <c r="J367" s="1"/>
  <c r="E369"/>
  <c r="F368"/>
  <c r="N368" s="1"/>
  <c r="P368" s="1"/>
  <c r="F191" i="2"/>
  <c r="I191"/>
  <c r="K191" s="1"/>
  <c r="H368" i="5" l="1"/>
  <c r="J368" s="1"/>
  <c r="E370"/>
  <c r="F369"/>
  <c r="N369" s="1"/>
  <c r="P369" s="1"/>
  <c r="G191" i="2"/>
  <c r="H191" s="1"/>
  <c r="J191" s="1"/>
  <c r="D192" s="1"/>
  <c r="H369" i="5" l="1"/>
  <c r="J369" s="1"/>
  <c r="E371"/>
  <c r="F370"/>
  <c r="N370" s="1"/>
  <c r="P370" s="1"/>
  <c r="I192" i="2"/>
  <c r="K192" s="1"/>
  <c r="F192"/>
  <c r="H370" i="5" l="1"/>
  <c r="J370" s="1"/>
  <c r="E372"/>
  <c r="F371"/>
  <c r="N371" s="1"/>
  <c r="P371" s="1"/>
  <c r="G192" i="2"/>
  <c r="H192" s="1"/>
  <c r="J192" s="1"/>
  <c r="D193" s="1"/>
  <c r="P372" i="5" l="1"/>
  <c r="H371"/>
  <c r="J371" s="1"/>
  <c r="E373"/>
  <c r="F372"/>
  <c r="N372" s="1"/>
  <c r="I193" i="2"/>
  <c r="K193" s="1"/>
  <c r="F193"/>
  <c r="P373" i="5" l="1"/>
  <c r="H372"/>
  <c r="J372" s="1"/>
  <c r="E374"/>
  <c r="F373"/>
  <c r="N373" s="1"/>
  <c r="G193" i="2"/>
  <c r="H193" s="1"/>
  <c r="J193" s="1"/>
  <c r="D194" s="1"/>
  <c r="H373" i="5" l="1"/>
  <c r="J373" s="1"/>
  <c r="E375"/>
  <c r="F375" s="1"/>
  <c r="N375" s="1"/>
  <c r="F374"/>
  <c r="N374" s="1"/>
  <c r="P374" s="1"/>
  <c r="I194" i="2"/>
  <c r="K194" s="1"/>
  <c r="F194"/>
  <c r="P375" i="5" l="1"/>
  <c r="S375" s="1"/>
  <c r="K11" s="1"/>
  <c r="H375"/>
  <c r="H374"/>
  <c r="J374" s="1"/>
  <c r="G194" i="2"/>
  <c r="H194" s="1"/>
  <c r="J194" s="1"/>
  <c r="D195" s="1"/>
  <c r="J375" i="5" l="1"/>
  <c r="L375" s="1"/>
  <c r="J11" s="1"/>
  <c r="L11" s="1"/>
  <c r="I195" i="2"/>
  <c r="K195" s="1"/>
  <c r="F195"/>
  <c r="G195" l="1"/>
  <c r="H195" s="1"/>
  <c r="J195" s="1"/>
  <c r="D196" s="1"/>
  <c r="I196" l="1"/>
  <c r="K196" s="1"/>
  <c r="F196"/>
  <c r="G196" l="1"/>
  <c r="H196" s="1"/>
  <c r="J196" s="1"/>
  <c r="D197" s="1"/>
  <c r="I197" l="1"/>
  <c r="K197" s="1"/>
  <c r="F197"/>
  <c r="G197" l="1"/>
  <c r="H197" s="1"/>
  <c r="J197" s="1"/>
  <c r="D198" s="1"/>
  <c r="F198" l="1"/>
  <c r="I198"/>
  <c r="K198" s="1"/>
  <c r="G198" l="1"/>
  <c r="H198" s="1"/>
  <c r="J198" s="1"/>
  <c r="D199" s="1"/>
  <c r="F199" l="1"/>
  <c r="I199"/>
  <c r="K199" s="1"/>
  <c r="G199" l="1"/>
  <c r="H199" s="1"/>
  <c r="J199" s="1"/>
  <c r="N34" i="4" s="1"/>
  <c r="M35" l="1"/>
  <c r="O34"/>
  <c r="D7" s="1"/>
  <c r="D200" i="2"/>
  <c r="F200" s="1"/>
  <c r="I200" l="1"/>
  <c r="K200" s="1"/>
  <c r="G200"/>
  <c r="H200" l="1"/>
  <c r="J200" s="1"/>
  <c r="D201" s="1"/>
  <c r="F201" s="1"/>
  <c r="I201" l="1"/>
  <c r="K201" s="1"/>
  <c r="G201"/>
  <c r="H201" l="1"/>
  <c r="J201" s="1"/>
  <c r="D202" s="1"/>
  <c r="I202" s="1"/>
  <c r="K202" s="1"/>
  <c r="F202" l="1"/>
  <c r="G202" s="1"/>
  <c r="H202" s="1"/>
  <c r="J202" s="1"/>
  <c r="D203" s="1"/>
  <c r="F203" l="1"/>
  <c r="I203"/>
  <c r="K203" s="1"/>
  <c r="G203" l="1"/>
  <c r="H203" s="1"/>
  <c r="J203" s="1"/>
  <c r="D204" s="1"/>
  <c r="I204" l="1"/>
  <c r="K204" s="1"/>
  <c r="F204"/>
  <c r="G204" l="1"/>
  <c r="H204" s="1"/>
  <c r="J204" s="1"/>
  <c r="D205" s="1"/>
  <c r="I205" l="1"/>
  <c r="K205" s="1"/>
  <c r="F205"/>
  <c r="G205" l="1"/>
  <c r="H205" s="1"/>
  <c r="J205" s="1"/>
  <c r="D206" s="1"/>
  <c r="I206" l="1"/>
  <c r="K206" s="1"/>
  <c r="F206"/>
  <c r="G206" l="1"/>
  <c r="H206" s="1"/>
  <c r="J206" s="1"/>
  <c r="D207" s="1"/>
  <c r="F207" l="1"/>
  <c r="I207"/>
  <c r="K207" s="1"/>
  <c r="G207" l="1"/>
  <c r="H207" s="1"/>
  <c r="J207" s="1"/>
  <c r="D208" s="1"/>
  <c r="I208" l="1"/>
  <c r="K208" s="1"/>
  <c r="F208"/>
  <c r="G208" l="1"/>
  <c r="H208" s="1"/>
  <c r="J208" s="1"/>
  <c r="D209" s="1"/>
  <c r="F209" l="1"/>
  <c r="I209"/>
  <c r="K209" s="1"/>
  <c r="G209" l="1"/>
  <c r="H209" s="1"/>
  <c r="J209" s="1"/>
  <c r="D210" s="1"/>
  <c r="F210" l="1"/>
  <c r="I210"/>
  <c r="K210" s="1"/>
  <c r="G210" l="1"/>
  <c r="H210" s="1"/>
  <c r="J210" s="1"/>
  <c r="D211" s="1"/>
  <c r="I211" l="1"/>
  <c r="K211" s="1"/>
  <c r="F211"/>
  <c r="G211" l="1"/>
  <c r="H211" s="1"/>
  <c r="J211" s="1"/>
  <c r="D212" l="1"/>
  <c r="F212" s="1"/>
  <c r="N35" i="4"/>
  <c r="M36" l="1"/>
  <c r="O35"/>
  <c r="I212" i="2"/>
  <c r="K212" s="1"/>
  <c r="G212"/>
  <c r="H212" l="1"/>
  <c r="J212" s="1"/>
  <c r="D213" s="1"/>
  <c r="F213" s="1"/>
  <c r="I213" l="1"/>
  <c r="K213" s="1"/>
  <c r="G213"/>
  <c r="H213" l="1"/>
  <c r="J213" s="1"/>
  <c r="D214" s="1"/>
  <c r="F214" s="1"/>
  <c r="I214" l="1"/>
  <c r="K214" s="1"/>
  <c r="G214"/>
  <c r="H214" l="1"/>
  <c r="J214" s="1"/>
  <c r="D215" s="1"/>
  <c r="F215" s="1"/>
  <c r="I215" l="1"/>
  <c r="K215" s="1"/>
  <c r="G215"/>
  <c r="H215" l="1"/>
  <c r="J215" s="1"/>
  <c r="D216" s="1"/>
  <c r="F216" s="1"/>
  <c r="I216" l="1"/>
  <c r="K216" s="1"/>
  <c r="G216"/>
  <c r="H216" l="1"/>
  <c r="J216" s="1"/>
  <c r="D217" s="1"/>
  <c r="I217" s="1"/>
  <c r="K217" s="1"/>
  <c r="F217" l="1"/>
  <c r="G217" s="1"/>
  <c r="H217" s="1"/>
  <c r="J217" s="1"/>
  <c r="D218" s="1"/>
  <c r="F218" l="1"/>
  <c r="I218"/>
  <c r="K218" s="1"/>
  <c r="G218" l="1"/>
  <c r="H218" s="1"/>
  <c r="J218" s="1"/>
  <c r="D219" s="1"/>
  <c r="I219" l="1"/>
  <c r="K219" s="1"/>
  <c r="F219"/>
  <c r="G219" l="1"/>
  <c r="H219" s="1"/>
  <c r="J219" s="1"/>
  <c r="D220" s="1"/>
  <c r="I220" l="1"/>
  <c r="K220" s="1"/>
  <c r="F220"/>
  <c r="G220" l="1"/>
  <c r="H220" s="1"/>
  <c r="J220" s="1"/>
  <c r="D221" s="1"/>
  <c r="I221" l="1"/>
  <c r="K221" s="1"/>
  <c r="F221"/>
  <c r="G221" l="1"/>
  <c r="H221" s="1"/>
  <c r="J221" s="1"/>
  <c r="D222" s="1"/>
  <c r="I222" l="1"/>
  <c r="K222" s="1"/>
  <c r="F222"/>
  <c r="G222" l="1"/>
  <c r="H222" s="1"/>
  <c r="J222" s="1"/>
  <c r="D223" s="1"/>
  <c r="I223" l="1"/>
  <c r="K223" s="1"/>
  <c r="F223"/>
  <c r="G223" l="1"/>
  <c r="H223" s="1"/>
  <c r="J223" s="1"/>
  <c r="N36" i="4" s="1"/>
  <c r="M37" l="1"/>
  <c r="O36"/>
  <c r="D224" i="2"/>
  <c r="I224" s="1"/>
  <c r="K224" s="1"/>
  <c r="F224" l="1"/>
  <c r="G224" s="1"/>
  <c r="H224" s="1"/>
  <c r="J224" s="1"/>
  <c r="D225" s="1"/>
  <c r="I225" l="1"/>
  <c r="K225" s="1"/>
  <c r="F225"/>
  <c r="G225" l="1"/>
  <c r="H225" s="1"/>
  <c r="J225" s="1"/>
  <c r="D226" s="1"/>
  <c r="I226" l="1"/>
  <c r="K226" s="1"/>
  <c r="F226"/>
  <c r="G226" l="1"/>
  <c r="H226" s="1"/>
  <c r="J226" s="1"/>
  <c r="D227" s="1"/>
  <c r="I227" l="1"/>
  <c r="K227" s="1"/>
  <c r="F227"/>
  <c r="G227" l="1"/>
  <c r="H227" s="1"/>
  <c r="J227" s="1"/>
  <c r="D228" s="1"/>
  <c r="I228" l="1"/>
  <c r="K228" s="1"/>
  <c r="F228"/>
  <c r="G228" l="1"/>
  <c r="H228" s="1"/>
  <c r="J228" s="1"/>
  <c r="D229" s="1"/>
  <c r="I229" l="1"/>
  <c r="K229" s="1"/>
  <c r="F229"/>
  <c r="G229" l="1"/>
  <c r="H229" s="1"/>
  <c r="J229" s="1"/>
  <c r="D230" s="1"/>
  <c r="I230" l="1"/>
  <c r="K230" s="1"/>
  <c r="F230"/>
  <c r="G230" l="1"/>
  <c r="H230" s="1"/>
  <c r="J230" s="1"/>
  <c r="D231" s="1"/>
  <c r="I231" l="1"/>
  <c r="K231" s="1"/>
  <c r="F231"/>
  <c r="G231" l="1"/>
  <c r="H231" s="1"/>
  <c r="J231" s="1"/>
  <c r="D232" s="1"/>
  <c r="I232" l="1"/>
  <c r="K232" s="1"/>
  <c r="F232"/>
  <c r="G232" l="1"/>
  <c r="H232" s="1"/>
  <c r="J232" s="1"/>
  <c r="D233" s="1"/>
  <c r="F233" l="1"/>
  <c r="I233"/>
  <c r="K233" s="1"/>
  <c r="G233" l="1"/>
  <c r="H233" s="1"/>
  <c r="J233" s="1"/>
  <c r="D234" s="1"/>
  <c r="F234" l="1"/>
  <c r="I234"/>
  <c r="K234" s="1"/>
  <c r="G234" l="1"/>
  <c r="H234" s="1"/>
  <c r="J234" s="1"/>
  <c r="D235" s="1"/>
  <c r="F235" l="1"/>
  <c r="I235"/>
  <c r="K235" s="1"/>
  <c r="G235" l="1"/>
  <c r="H235" s="1"/>
  <c r="J235" s="1"/>
  <c r="N37" i="4" s="1"/>
  <c r="M38" l="1"/>
  <c r="O37"/>
  <c r="D236" i="2"/>
  <c r="F236" s="1"/>
  <c r="I236" l="1"/>
  <c r="K236" s="1"/>
  <c r="G236"/>
  <c r="H236" l="1"/>
  <c r="J236" s="1"/>
  <c r="D237" s="1"/>
  <c r="F237" s="1"/>
  <c r="I237" l="1"/>
  <c r="K237" s="1"/>
  <c r="G237"/>
  <c r="H237" l="1"/>
  <c r="J237" s="1"/>
  <c r="D238" s="1"/>
  <c r="I238" s="1"/>
  <c r="K238" s="1"/>
  <c r="F238" l="1"/>
  <c r="G238" s="1"/>
  <c r="H238" s="1"/>
  <c r="J238" s="1"/>
  <c r="D239" s="1"/>
  <c r="I239" l="1"/>
  <c r="K239" s="1"/>
  <c r="F239"/>
  <c r="G239" l="1"/>
  <c r="H239" s="1"/>
  <c r="J239" s="1"/>
  <c r="D240" s="1"/>
  <c r="I240" l="1"/>
  <c r="K240" s="1"/>
  <c r="F240"/>
  <c r="G240" l="1"/>
  <c r="H240" s="1"/>
  <c r="J240" s="1"/>
  <c r="D241" s="1"/>
  <c r="I241" l="1"/>
  <c r="K241" s="1"/>
  <c r="F241"/>
  <c r="G241" l="1"/>
  <c r="H241" s="1"/>
  <c r="J241" s="1"/>
  <c r="D242" s="1"/>
  <c r="I242" l="1"/>
  <c r="K242" s="1"/>
  <c r="F242"/>
  <c r="G242" l="1"/>
  <c r="H242" s="1"/>
  <c r="J242" s="1"/>
  <c r="D243" s="1"/>
  <c r="I243" l="1"/>
  <c r="K243" s="1"/>
  <c r="F243"/>
  <c r="G243" l="1"/>
  <c r="H243" s="1"/>
  <c r="J243" s="1"/>
  <c r="D244" s="1"/>
  <c r="I244" l="1"/>
  <c r="K244" s="1"/>
  <c r="F244"/>
  <c r="G244" l="1"/>
  <c r="H244" s="1"/>
  <c r="J244" s="1"/>
  <c r="D245" s="1"/>
  <c r="I245" l="1"/>
  <c r="K245" s="1"/>
  <c r="F245"/>
  <c r="G245" l="1"/>
  <c r="H245" s="1"/>
  <c r="J245" s="1"/>
  <c r="D246" s="1"/>
  <c r="I246" l="1"/>
  <c r="K246" s="1"/>
  <c r="F246"/>
  <c r="G246" l="1"/>
  <c r="H246" s="1"/>
  <c r="J246" s="1"/>
  <c r="D247" s="1"/>
  <c r="I247" l="1"/>
  <c r="K247" s="1"/>
  <c r="F247"/>
  <c r="G247" l="1"/>
  <c r="H247" s="1"/>
  <c r="J247" s="1"/>
  <c r="N38" i="4" s="1"/>
  <c r="M39" l="1"/>
  <c r="O38"/>
  <c r="D248" i="2"/>
  <c r="I248" s="1"/>
  <c r="K248" s="1"/>
  <c r="F248" l="1"/>
  <c r="G248" s="1"/>
  <c r="H248" s="1"/>
  <c r="J248" s="1"/>
  <c r="D249" s="1"/>
  <c r="I249" l="1"/>
  <c r="K249" s="1"/>
  <c r="F249"/>
  <c r="G249" l="1"/>
  <c r="H249" s="1"/>
  <c r="J249" s="1"/>
  <c r="D250" s="1"/>
  <c r="F250" l="1"/>
  <c r="I250"/>
  <c r="K250" s="1"/>
  <c r="G250" l="1"/>
  <c r="H250" s="1"/>
  <c r="J250" s="1"/>
  <c r="D251" s="1"/>
  <c r="I251" l="1"/>
  <c r="K251" s="1"/>
  <c r="F251"/>
  <c r="G251" l="1"/>
  <c r="H251" s="1"/>
  <c r="J251" s="1"/>
  <c r="D252" s="1"/>
  <c r="I252" l="1"/>
  <c r="K252" s="1"/>
  <c r="F252"/>
  <c r="G252" l="1"/>
  <c r="H252" s="1"/>
  <c r="J252" s="1"/>
  <c r="D253" s="1"/>
  <c r="I253" l="1"/>
  <c r="K253" s="1"/>
  <c r="F253"/>
  <c r="G253" l="1"/>
  <c r="H253" s="1"/>
  <c r="J253" s="1"/>
  <c r="D254" s="1"/>
  <c r="I254" l="1"/>
  <c r="K254" s="1"/>
  <c r="F254"/>
  <c r="G254" l="1"/>
  <c r="H254" s="1"/>
  <c r="J254" s="1"/>
  <c r="D255" s="1"/>
  <c r="I255" l="1"/>
  <c r="K255" s="1"/>
  <c r="F255"/>
  <c r="G255" l="1"/>
  <c r="H255" s="1"/>
  <c r="J255" s="1"/>
  <c r="D256" s="1"/>
  <c r="F256" l="1"/>
  <c r="I256"/>
  <c r="K256" s="1"/>
  <c r="G256" l="1"/>
  <c r="H256" s="1"/>
  <c r="J256" s="1"/>
  <c r="D257" s="1"/>
  <c r="I257" l="1"/>
  <c r="K257" s="1"/>
  <c r="F257"/>
  <c r="G257" l="1"/>
  <c r="H257" s="1"/>
  <c r="J257" s="1"/>
  <c r="D258" s="1"/>
  <c r="I258" l="1"/>
  <c r="K258" s="1"/>
  <c r="F258"/>
  <c r="G258" l="1"/>
  <c r="H258" s="1"/>
  <c r="J258" s="1"/>
  <c r="D259" s="1"/>
  <c r="I259" l="1"/>
  <c r="K259" s="1"/>
  <c r="F259"/>
  <c r="G259" l="1"/>
  <c r="H259" s="1"/>
  <c r="J259" s="1"/>
  <c r="N39" i="4" s="1"/>
  <c r="M40" l="1"/>
  <c r="O39"/>
  <c r="D8" s="1"/>
  <c r="D260" i="2"/>
  <c r="I260" s="1"/>
  <c r="K260" s="1"/>
  <c r="F260" l="1"/>
  <c r="G260" s="1"/>
  <c r="H260" s="1"/>
  <c r="J260" s="1"/>
  <c r="D261" s="1"/>
  <c r="I261" l="1"/>
  <c r="K261" s="1"/>
  <c r="F261"/>
  <c r="G261" l="1"/>
  <c r="H261" s="1"/>
  <c r="J261" s="1"/>
  <c r="D262" s="1"/>
  <c r="I262" l="1"/>
  <c r="K262" s="1"/>
  <c r="F262"/>
  <c r="G262" l="1"/>
  <c r="H262" s="1"/>
  <c r="J262" s="1"/>
  <c r="D263" s="1"/>
  <c r="I263" l="1"/>
  <c r="K263" s="1"/>
  <c r="F263"/>
  <c r="G263" l="1"/>
  <c r="H263" s="1"/>
  <c r="J263" s="1"/>
  <c r="D264" s="1"/>
  <c r="F264" l="1"/>
  <c r="I264"/>
  <c r="K264" s="1"/>
  <c r="G264" l="1"/>
  <c r="H264" s="1"/>
  <c r="J264" s="1"/>
  <c r="D265" s="1"/>
  <c r="F265" l="1"/>
  <c r="I265"/>
  <c r="K265" s="1"/>
  <c r="G265" l="1"/>
  <c r="H265" s="1"/>
  <c r="J265" s="1"/>
  <c r="D266" s="1"/>
  <c r="I266" l="1"/>
  <c r="K266" s="1"/>
  <c r="F266"/>
  <c r="G266" l="1"/>
  <c r="H266" s="1"/>
  <c r="J266" s="1"/>
  <c r="D267" s="1"/>
  <c r="I267" l="1"/>
  <c r="K267" s="1"/>
  <c r="F267"/>
  <c r="G267" l="1"/>
  <c r="H267" s="1"/>
  <c r="J267" s="1"/>
  <c r="D268" s="1"/>
  <c r="I268" l="1"/>
  <c r="K268" s="1"/>
  <c r="F268"/>
  <c r="G268" l="1"/>
  <c r="H268" s="1"/>
  <c r="J268" s="1"/>
  <c r="D269" s="1"/>
  <c r="I269" l="1"/>
  <c r="K269" s="1"/>
  <c r="F269"/>
  <c r="G269" l="1"/>
  <c r="H269" s="1"/>
  <c r="J269" s="1"/>
  <c r="D270" s="1"/>
  <c r="I270" l="1"/>
  <c r="K270" s="1"/>
  <c r="F270"/>
  <c r="G270" l="1"/>
  <c r="H270" s="1"/>
  <c r="J270" s="1"/>
  <c r="D271" s="1"/>
  <c r="I271" l="1"/>
  <c r="K271" s="1"/>
  <c r="F271"/>
  <c r="G271" l="1"/>
  <c r="H271" s="1"/>
  <c r="J271" s="1"/>
  <c r="N40" i="4" s="1"/>
  <c r="M41" l="1"/>
  <c r="O40"/>
  <c r="D272" i="2"/>
  <c r="F272" s="1"/>
  <c r="I272" l="1"/>
  <c r="K272" s="1"/>
  <c r="G272"/>
  <c r="H272" l="1"/>
  <c r="J272" s="1"/>
  <c r="D273" s="1"/>
  <c r="F273" s="1"/>
  <c r="I273" l="1"/>
  <c r="K273" s="1"/>
  <c r="G273"/>
  <c r="H273" l="1"/>
  <c r="J273" s="1"/>
  <c r="D274" s="1"/>
  <c r="F274" s="1"/>
  <c r="I274" l="1"/>
  <c r="K274" s="1"/>
  <c r="G274"/>
  <c r="H274" l="1"/>
  <c r="J274" s="1"/>
  <c r="D275" s="1"/>
  <c r="F275" s="1"/>
  <c r="I275" l="1"/>
  <c r="K275" s="1"/>
  <c r="G275"/>
  <c r="H275" l="1"/>
  <c r="J275" s="1"/>
  <c r="D276" s="1"/>
  <c r="F276" s="1"/>
  <c r="I276" l="1"/>
  <c r="K276" s="1"/>
  <c r="G276"/>
  <c r="H276" l="1"/>
  <c r="J276" s="1"/>
  <c r="D277" s="1"/>
  <c r="F277" s="1"/>
  <c r="I277" l="1"/>
  <c r="K277" s="1"/>
  <c r="G277"/>
  <c r="H277" l="1"/>
  <c r="J277" s="1"/>
  <c r="D278" s="1"/>
  <c r="F278" s="1"/>
  <c r="I278" l="1"/>
  <c r="K278" s="1"/>
  <c r="G278"/>
  <c r="H278" l="1"/>
  <c r="J278" s="1"/>
  <c r="D279" s="1"/>
  <c r="F279" s="1"/>
  <c r="I279" l="1"/>
  <c r="K279" s="1"/>
  <c r="G279"/>
  <c r="H279" l="1"/>
  <c r="J279" s="1"/>
  <c r="D280" s="1"/>
  <c r="F280" s="1"/>
  <c r="I280" l="1"/>
  <c r="K280" s="1"/>
  <c r="G280"/>
  <c r="H280" l="1"/>
  <c r="J280" s="1"/>
  <c r="D281" s="1"/>
  <c r="I281" s="1"/>
  <c r="K281" s="1"/>
  <c r="F281" l="1"/>
  <c r="G281" s="1"/>
  <c r="H281" s="1"/>
  <c r="J281" s="1"/>
  <c r="D282" s="1"/>
  <c r="I282" l="1"/>
  <c r="K282" s="1"/>
  <c r="F282"/>
  <c r="G282" l="1"/>
  <c r="H282" s="1"/>
  <c r="J282" s="1"/>
  <c r="D283" s="1"/>
  <c r="F283" l="1"/>
  <c r="I283"/>
  <c r="K283" s="1"/>
  <c r="G283" l="1"/>
  <c r="H283" s="1"/>
  <c r="J283" s="1"/>
  <c r="N41" i="4" s="1"/>
  <c r="M42" l="1"/>
  <c r="O41"/>
  <c r="D284" i="2"/>
  <c r="F284" s="1"/>
  <c r="I284" l="1"/>
  <c r="K284" s="1"/>
  <c r="G284"/>
  <c r="H284" l="1"/>
  <c r="J284" s="1"/>
  <c r="D285" s="1"/>
  <c r="F285" s="1"/>
  <c r="I285" l="1"/>
  <c r="K285" s="1"/>
  <c r="G285"/>
  <c r="H285" l="1"/>
  <c r="J285" s="1"/>
  <c r="D286" s="1"/>
  <c r="F286" s="1"/>
  <c r="I286" l="1"/>
  <c r="K286" s="1"/>
  <c r="G286"/>
  <c r="H286" l="1"/>
  <c r="J286" s="1"/>
  <c r="D287" s="1"/>
  <c r="I287" s="1"/>
  <c r="K287" s="1"/>
  <c r="F287" l="1"/>
  <c r="G287" s="1"/>
  <c r="H287" s="1"/>
  <c r="J287" s="1"/>
  <c r="D288" s="1"/>
  <c r="I288" l="1"/>
  <c r="K288" s="1"/>
  <c r="F288"/>
  <c r="G288" l="1"/>
  <c r="H288" s="1"/>
  <c r="J288" s="1"/>
  <c r="D289" s="1"/>
  <c r="F289" l="1"/>
  <c r="I289"/>
  <c r="K289" s="1"/>
  <c r="G289" l="1"/>
  <c r="H289" s="1"/>
  <c r="J289" s="1"/>
  <c r="D290" s="1"/>
  <c r="I290" l="1"/>
  <c r="K290" s="1"/>
  <c r="F290"/>
  <c r="G290" l="1"/>
  <c r="H290" s="1"/>
  <c r="J290" s="1"/>
  <c r="D291" s="1"/>
  <c r="I291" l="1"/>
  <c r="K291" s="1"/>
  <c r="F291"/>
  <c r="G291" l="1"/>
  <c r="H291" s="1"/>
  <c r="J291" s="1"/>
  <c r="D292" s="1"/>
  <c r="I292" l="1"/>
  <c r="K292" s="1"/>
  <c r="F292"/>
  <c r="G292" l="1"/>
  <c r="H292" s="1"/>
  <c r="J292" s="1"/>
  <c r="D293" s="1"/>
  <c r="I293" l="1"/>
  <c r="K293" s="1"/>
  <c r="F293"/>
  <c r="G293" l="1"/>
  <c r="H293" s="1"/>
  <c r="J293" s="1"/>
  <c r="D294" s="1"/>
  <c r="I294" l="1"/>
  <c r="K294" s="1"/>
  <c r="F294"/>
  <c r="G294" l="1"/>
  <c r="H294" s="1"/>
  <c r="J294" s="1"/>
  <c r="D295" s="1"/>
  <c r="I295" l="1"/>
  <c r="K295" s="1"/>
  <c r="F295"/>
  <c r="G295" l="1"/>
  <c r="H295" s="1"/>
  <c r="J295" s="1"/>
  <c r="N42" i="4" s="1"/>
  <c r="M43" l="1"/>
  <c r="O42"/>
  <c r="D296" i="2"/>
  <c r="F296" s="1"/>
  <c r="I296" l="1"/>
  <c r="K296" s="1"/>
  <c r="G296"/>
  <c r="H296" l="1"/>
  <c r="J296" s="1"/>
  <c r="D297" s="1"/>
  <c r="F297" s="1"/>
  <c r="I297" l="1"/>
  <c r="K297" s="1"/>
  <c r="G297"/>
  <c r="H297" l="1"/>
  <c r="J297" s="1"/>
  <c r="D298" s="1"/>
  <c r="F298" s="1"/>
  <c r="I298" l="1"/>
  <c r="K298" s="1"/>
  <c r="G298"/>
  <c r="H298" l="1"/>
  <c r="J298" s="1"/>
  <c r="D299" s="1"/>
  <c r="I299" s="1"/>
  <c r="K299" s="1"/>
  <c r="F299" l="1"/>
  <c r="G299" s="1"/>
  <c r="H299" s="1"/>
  <c r="J299" s="1"/>
  <c r="D300" s="1"/>
  <c r="I300" l="1"/>
  <c r="K300" s="1"/>
  <c r="F300"/>
  <c r="G300" l="1"/>
  <c r="H300" s="1"/>
  <c r="J300" s="1"/>
  <c r="D301" s="1"/>
  <c r="I301" l="1"/>
  <c r="K301" s="1"/>
  <c r="F301"/>
  <c r="G301" l="1"/>
  <c r="H301" s="1"/>
  <c r="J301" s="1"/>
  <c r="D302" s="1"/>
  <c r="F302" l="1"/>
  <c r="I302"/>
  <c r="K302" s="1"/>
  <c r="G302" l="1"/>
  <c r="H302" s="1"/>
  <c r="J302" s="1"/>
  <c r="D303" s="1"/>
  <c r="I303" l="1"/>
  <c r="K303" s="1"/>
  <c r="F303"/>
  <c r="G303" l="1"/>
  <c r="H303" s="1"/>
  <c r="J303" s="1"/>
  <c r="D304" s="1"/>
  <c r="F304" l="1"/>
  <c r="I304"/>
  <c r="K304" s="1"/>
  <c r="G304" l="1"/>
  <c r="H304" s="1"/>
  <c r="J304" s="1"/>
  <c r="D305" s="1"/>
  <c r="I305" l="1"/>
  <c r="K305" s="1"/>
  <c r="F305"/>
  <c r="G305" l="1"/>
  <c r="H305" s="1"/>
  <c r="J305" s="1"/>
  <c r="D306" s="1"/>
  <c r="F306" l="1"/>
  <c r="I306"/>
  <c r="K306" s="1"/>
  <c r="G306" l="1"/>
  <c r="H306" s="1"/>
  <c r="J306" s="1"/>
  <c r="D307" s="1"/>
  <c r="I307" l="1"/>
  <c r="K307" s="1"/>
  <c r="F307"/>
  <c r="G307" l="1"/>
  <c r="H307" s="1"/>
  <c r="J307" s="1"/>
  <c r="N43" i="4" s="1"/>
  <c r="M44" l="1"/>
  <c r="O43"/>
  <c r="D308" i="2"/>
  <c r="F308" s="1"/>
  <c r="I308" l="1"/>
  <c r="K308" s="1"/>
  <c r="G308"/>
  <c r="H308" l="1"/>
  <c r="J308" s="1"/>
  <c r="D309" s="1"/>
  <c r="F309" s="1"/>
  <c r="I309" l="1"/>
  <c r="K309" s="1"/>
  <c r="G309"/>
  <c r="H309" l="1"/>
  <c r="J309" s="1"/>
  <c r="D310" s="1"/>
  <c r="F310" s="1"/>
  <c r="I310" l="1"/>
  <c r="K310" s="1"/>
  <c r="G310"/>
  <c r="H310" l="1"/>
  <c r="J310" s="1"/>
  <c r="D311" s="1"/>
  <c r="F311" s="1"/>
  <c r="I311" l="1"/>
  <c r="K311" s="1"/>
  <c r="G311"/>
  <c r="H311" l="1"/>
  <c r="J311" s="1"/>
  <c r="D312" s="1"/>
  <c r="F312" s="1"/>
  <c r="I312" l="1"/>
  <c r="K312" s="1"/>
  <c r="G312"/>
  <c r="H312" l="1"/>
  <c r="J312" s="1"/>
  <c r="D313" s="1"/>
  <c r="F313" s="1"/>
  <c r="I313" l="1"/>
  <c r="K313" s="1"/>
  <c r="G313"/>
  <c r="H313" l="1"/>
  <c r="J313" s="1"/>
  <c r="D314" s="1"/>
  <c r="F314" s="1"/>
  <c r="I314" l="1"/>
  <c r="K314" s="1"/>
  <c r="G314"/>
  <c r="H314" l="1"/>
  <c r="J314" s="1"/>
  <c r="D315" s="1"/>
  <c r="I315" s="1"/>
  <c r="K315" s="1"/>
  <c r="F315" l="1"/>
  <c r="G315" s="1"/>
  <c r="H315" s="1"/>
  <c r="J315" s="1"/>
  <c r="D316" s="1"/>
  <c r="I316" l="1"/>
  <c r="K316" s="1"/>
  <c r="F316"/>
  <c r="G316" l="1"/>
  <c r="H316" s="1"/>
  <c r="J316" s="1"/>
  <c r="D317" s="1"/>
  <c r="I317" l="1"/>
  <c r="K317" s="1"/>
  <c r="F317"/>
  <c r="G317" l="1"/>
  <c r="H317" s="1"/>
  <c r="J317" s="1"/>
  <c r="D318" s="1"/>
  <c r="I318" l="1"/>
  <c r="K318" s="1"/>
  <c r="F318"/>
  <c r="G318" l="1"/>
  <c r="H318" s="1"/>
  <c r="J318" s="1"/>
  <c r="D319" s="1"/>
  <c r="F319" l="1"/>
  <c r="I319"/>
  <c r="K319" s="1"/>
  <c r="G319" l="1"/>
  <c r="H319" s="1"/>
  <c r="J319" s="1"/>
  <c r="N44" i="4" s="1"/>
  <c r="M45" l="1"/>
  <c r="O44"/>
  <c r="D9" s="1"/>
  <c r="D320" i="2"/>
  <c r="F320" s="1"/>
  <c r="I320" l="1"/>
  <c r="K320" s="1"/>
  <c r="G320"/>
  <c r="H320" l="1"/>
  <c r="J320" s="1"/>
  <c r="D321" s="1"/>
  <c r="I321" s="1"/>
  <c r="K321" s="1"/>
  <c r="F321" l="1"/>
  <c r="G321" s="1"/>
  <c r="H321" s="1"/>
  <c r="J321" s="1"/>
  <c r="D322" s="1"/>
  <c r="I322" l="1"/>
  <c r="K322" s="1"/>
  <c r="F322"/>
  <c r="G322" l="1"/>
  <c r="H322" s="1"/>
  <c r="J322" s="1"/>
  <c r="D323" s="1"/>
  <c r="I323" l="1"/>
  <c r="K323" s="1"/>
  <c r="F323"/>
  <c r="G323" l="1"/>
  <c r="H323" s="1"/>
  <c r="J323" s="1"/>
  <c r="D324" s="1"/>
  <c r="I324" l="1"/>
  <c r="K324" s="1"/>
  <c r="F324"/>
  <c r="G324" l="1"/>
  <c r="H324" s="1"/>
  <c r="J324" s="1"/>
  <c r="D325" s="1"/>
  <c r="I325" l="1"/>
  <c r="K325" s="1"/>
  <c r="F325"/>
  <c r="G325" l="1"/>
  <c r="H325" s="1"/>
  <c r="J325" s="1"/>
  <c r="D326" s="1"/>
  <c r="I326" l="1"/>
  <c r="K326" s="1"/>
  <c r="F326"/>
  <c r="G326" l="1"/>
  <c r="H326" s="1"/>
  <c r="J326" s="1"/>
  <c r="D327" s="1"/>
  <c r="I327" l="1"/>
  <c r="K327" s="1"/>
  <c r="F327"/>
  <c r="G327" l="1"/>
  <c r="H327" s="1"/>
  <c r="J327" s="1"/>
  <c r="D328" s="1"/>
  <c r="I328" l="1"/>
  <c r="K328" s="1"/>
  <c r="F328"/>
  <c r="G328" l="1"/>
  <c r="H328" s="1"/>
  <c r="J328" s="1"/>
  <c r="D329" s="1"/>
  <c r="I329" l="1"/>
  <c r="K329" s="1"/>
  <c r="F329"/>
  <c r="G329" l="1"/>
  <c r="H329" s="1"/>
  <c r="J329" s="1"/>
  <c r="D330" s="1"/>
  <c r="I330" l="1"/>
  <c r="K330" s="1"/>
  <c r="F330"/>
  <c r="G330" l="1"/>
  <c r="H330" s="1"/>
  <c r="J330" s="1"/>
  <c r="D331" s="1"/>
  <c r="F331" l="1"/>
  <c r="I331"/>
  <c r="K331" s="1"/>
  <c r="G331" l="1"/>
  <c r="H331" s="1"/>
  <c r="J331" s="1"/>
  <c r="N45" i="4" s="1"/>
  <c r="M46" l="1"/>
  <c r="O45"/>
  <c r="D332" i="2"/>
  <c r="F332" s="1"/>
  <c r="I332" l="1"/>
  <c r="K332" s="1"/>
  <c r="G332"/>
  <c r="H332" l="1"/>
  <c r="J332" s="1"/>
  <c r="D333" s="1"/>
  <c r="F333" s="1"/>
  <c r="I333" l="1"/>
  <c r="K333" s="1"/>
  <c r="G333"/>
  <c r="H333" l="1"/>
  <c r="J333" s="1"/>
  <c r="D334" s="1"/>
  <c r="I334" s="1"/>
  <c r="K334" s="1"/>
  <c r="F334" l="1"/>
  <c r="G334" s="1"/>
  <c r="H334" s="1"/>
  <c r="J334" s="1"/>
  <c r="D335" s="1"/>
  <c r="I335" l="1"/>
  <c r="K335" s="1"/>
  <c r="F335"/>
  <c r="G335" l="1"/>
  <c r="H335" s="1"/>
  <c r="J335" s="1"/>
  <c r="D336" s="1"/>
  <c r="F336" l="1"/>
  <c r="I336"/>
  <c r="K336" s="1"/>
  <c r="G336" l="1"/>
  <c r="H336" s="1"/>
  <c r="J336" s="1"/>
  <c r="D337" s="1"/>
  <c r="F337" l="1"/>
  <c r="I337"/>
  <c r="K337" s="1"/>
  <c r="G337" l="1"/>
  <c r="H337" s="1"/>
  <c r="J337" s="1"/>
  <c r="D338" s="1"/>
  <c r="I338" l="1"/>
  <c r="K338" s="1"/>
  <c r="F338"/>
  <c r="G338" l="1"/>
  <c r="H338" s="1"/>
  <c r="J338" s="1"/>
  <c r="D339" s="1"/>
  <c r="I339" l="1"/>
  <c r="K339" s="1"/>
  <c r="F339"/>
  <c r="G339" l="1"/>
  <c r="H339" s="1"/>
  <c r="J339" s="1"/>
  <c r="D340" s="1"/>
  <c r="I340" l="1"/>
  <c r="K340" s="1"/>
  <c r="F340"/>
  <c r="G340" l="1"/>
  <c r="H340" s="1"/>
  <c r="J340" s="1"/>
  <c r="D341" s="1"/>
  <c r="I341" l="1"/>
  <c r="K341" s="1"/>
  <c r="F341"/>
  <c r="G341" l="1"/>
  <c r="H341" s="1"/>
  <c r="J341" s="1"/>
  <c r="D342" s="1"/>
  <c r="I342" l="1"/>
  <c r="K342" s="1"/>
  <c r="F342"/>
  <c r="G342" l="1"/>
  <c r="H342" s="1"/>
  <c r="J342" s="1"/>
  <c r="D343" s="1"/>
  <c r="I343" l="1"/>
  <c r="K343" s="1"/>
  <c r="F343"/>
  <c r="G343" l="1"/>
  <c r="H343" s="1"/>
  <c r="J343" s="1"/>
  <c r="N46" i="4" s="1"/>
  <c r="M47" l="1"/>
  <c r="O46"/>
  <c r="D344" i="2"/>
  <c r="F344" s="1"/>
  <c r="I344" l="1"/>
  <c r="K344" s="1"/>
  <c r="G344"/>
  <c r="H344" l="1"/>
  <c r="J344" s="1"/>
  <c r="D345" s="1"/>
  <c r="I345" s="1"/>
  <c r="K345" s="1"/>
  <c r="F345" l="1"/>
  <c r="G345" s="1"/>
  <c r="H345" s="1"/>
  <c r="J345" s="1"/>
  <c r="D346" s="1"/>
  <c r="I346" l="1"/>
  <c r="K346" s="1"/>
  <c r="F346"/>
  <c r="G346" l="1"/>
  <c r="H346" s="1"/>
  <c r="J346" s="1"/>
  <c r="D347" s="1"/>
  <c r="F347" l="1"/>
  <c r="I347"/>
  <c r="K347" s="1"/>
  <c r="G347" l="1"/>
  <c r="H347" s="1"/>
  <c r="J347" s="1"/>
  <c r="D348" s="1"/>
  <c r="I348" l="1"/>
  <c r="K348" s="1"/>
  <c r="F348"/>
  <c r="G348" l="1"/>
  <c r="H348" s="1"/>
  <c r="J348" s="1"/>
  <c r="D349" s="1"/>
  <c r="I349" l="1"/>
  <c r="K349" s="1"/>
  <c r="F349"/>
  <c r="G349" l="1"/>
  <c r="H349" s="1"/>
  <c r="J349" s="1"/>
  <c r="D350" s="1"/>
  <c r="I350" l="1"/>
  <c r="K350" s="1"/>
  <c r="F350"/>
  <c r="G350" l="1"/>
  <c r="H350" s="1"/>
  <c r="J350" s="1"/>
  <c r="D351" s="1"/>
  <c r="F351" l="1"/>
  <c r="I351"/>
  <c r="K351" s="1"/>
  <c r="G351" l="1"/>
  <c r="H351" s="1"/>
  <c r="J351" s="1"/>
  <c r="D352" s="1"/>
  <c r="I352" l="1"/>
  <c r="K352" s="1"/>
  <c r="F352"/>
  <c r="G352" l="1"/>
  <c r="H352" s="1"/>
  <c r="J352" s="1"/>
  <c r="D353" s="1"/>
  <c r="F353" l="1"/>
  <c r="I353"/>
  <c r="K353" s="1"/>
  <c r="G353" l="1"/>
  <c r="H353" s="1"/>
  <c r="J353" s="1"/>
  <c r="D354" s="1"/>
  <c r="I354" l="1"/>
  <c r="K354" s="1"/>
  <c r="F354"/>
  <c r="G354" l="1"/>
  <c r="H354" s="1"/>
  <c r="J354" s="1"/>
  <c r="D355" s="1"/>
  <c r="I355" l="1"/>
  <c r="K355" s="1"/>
  <c r="F355"/>
  <c r="G355" l="1"/>
  <c r="H355" s="1"/>
  <c r="J355" s="1"/>
  <c r="N47" i="4" s="1"/>
  <c r="M48" l="1"/>
  <c r="O47"/>
  <c r="D356" i="2"/>
  <c r="F356" s="1"/>
  <c r="I356" l="1"/>
  <c r="K356" s="1"/>
  <c r="G356"/>
  <c r="H356" l="1"/>
  <c r="J356" s="1"/>
  <c r="D357" s="1"/>
  <c r="I357" s="1"/>
  <c r="K357" s="1"/>
  <c r="F357" l="1"/>
  <c r="G357" s="1"/>
  <c r="H357" s="1"/>
  <c r="J357" s="1"/>
  <c r="D358" s="1"/>
  <c r="I358" l="1"/>
  <c r="K358" s="1"/>
  <c r="F358"/>
  <c r="G358" l="1"/>
  <c r="H358" s="1"/>
  <c r="J358" s="1"/>
  <c r="D359" s="1"/>
  <c r="I359" l="1"/>
  <c r="K359" s="1"/>
  <c r="F359"/>
  <c r="G359" l="1"/>
  <c r="H359" s="1"/>
  <c r="J359" s="1"/>
  <c r="D360" s="1"/>
  <c r="I360" l="1"/>
  <c r="K360" s="1"/>
  <c r="F360"/>
  <c r="G360" l="1"/>
  <c r="H360" s="1"/>
  <c r="J360" s="1"/>
  <c r="D361" s="1"/>
  <c r="I361" l="1"/>
  <c r="K361" s="1"/>
  <c r="F361"/>
  <c r="G361" l="1"/>
  <c r="H361" s="1"/>
  <c r="J361" s="1"/>
  <c r="D362" s="1"/>
  <c r="I362" l="1"/>
  <c r="K362" s="1"/>
  <c r="F362"/>
  <c r="G362" l="1"/>
  <c r="H362" s="1"/>
  <c r="J362" s="1"/>
  <c r="D363" s="1"/>
  <c r="I363" l="1"/>
  <c r="K363" s="1"/>
  <c r="F363"/>
  <c r="G363" l="1"/>
  <c r="H363" s="1"/>
  <c r="J363" s="1"/>
  <c r="D364" s="1"/>
  <c r="I364" l="1"/>
  <c r="K364" s="1"/>
  <c r="F364"/>
  <c r="G364" l="1"/>
  <c r="H364" s="1"/>
  <c r="J364" s="1"/>
  <c r="D365" s="1"/>
  <c r="F365" l="1"/>
  <c r="I365"/>
  <c r="K365" s="1"/>
  <c r="G365" l="1"/>
  <c r="H365" s="1"/>
  <c r="J365" s="1"/>
  <c r="D366" s="1"/>
  <c r="I366" l="1"/>
  <c r="K366" s="1"/>
  <c r="F366"/>
  <c r="G366" l="1"/>
  <c r="H366" s="1"/>
  <c r="J366" s="1"/>
  <c r="D367" s="1"/>
  <c r="F367" l="1"/>
  <c r="I367"/>
  <c r="K367" s="1"/>
  <c r="G367" l="1"/>
  <c r="H367" s="1"/>
  <c r="J367" s="1"/>
  <c r="N48" i="4" s="1"/>
  <c r="M49" l="1"/>
  <c r="O48"/>
  <c r="D368" i="2"/>
  <c r="F368" s="1"/>
  <c r="I368" l="1"/>
  <c r="K368" s="1"/>
  <c r="G368"/>
  <c r="H368" l="1"/>
  <c r="J368" s="1"/>
  <c r="D369" s="1"/>
  <c r="I369" s="1"/>
  <c r="K369" s="1"/>
  <c r="F369" l="1"/>
  <c r="G369" s="1"/>
  <c r="H369" s="1"/>
  <c r="J369" s="1"/>
  <c r="D370" s="1"/>
  <c r="I370" l="1"/>
  <c r="K370" s="1"/>
  <c r="F370"/>
  <c r="G370" l="1"/>
  <c r="H370" s="1"/>
  <c r="J370" s="1"/>
  <c r="D371" s="1"/>
  <c r="I371" l="1"/>
  <c r="K371" s="1"/>
  <c r="F371"/>
  <c r="G371" l="1"/>
  <c r="H371" s="1"/>
  <c r="J371" s="1"/>
  <c r="D372" s="1"/>
  <c r="I372" l="1"/>
  <c r="K372" s="1"/>
  <c r="F372"/>
  <c r="G372" l="1"/>
  <c r="H372" s="1"/>
  <c r="J372" s="1"/>
  <c r="D373" s="1"/>
  <c r="I373" l="1"/>
  <c r="K373" s="1"/>
  <c r="F373"/>
  <c r="G373" l="1"/>
  <c r="H373" s="1"/>
  <c r="J373" s="1"/>
  <c r="D374" s="1"/>
  <c r="I374" l="1"/>
  <c r="K374" s="1"/>
  <c r="F374"/>
  <c r="G374" l="1"/>
  <c r="H374" s="1"/>
  <c r="J374" s="1"/>
  <c r="D375" s="1"/>
  <c r="I375" l="1"/>
  <c r="K375" s="1"/>
  <c r="F375"/>
  <c r="G375" l="1"/>
  <c r="H375" s="1"/>
  <c r="J375" s="1"/>
  <c r="D376" s="1"/>
  <c r="I376" l="1"/>
  <c r="K376" s="1"/>
  <c r="F376"/>
  <c r="G376" l="1"/>
  <c r="H376" s="1"/>
  <c r="J376" s="1"/>
  <c r="D377" s="1"/>
  <c r="I377" l="1"/>
  <c r="K377" s="1"/>
  <c r="F377"/>
  <c r="G377" l="1"/>
  <c r="H377" s="1"/>
  <c r="J377" s="1"/>
  <c r="D378" s="1"/>
  <c r="I378" l="1"/>
  <c r="K378" s="1"/>
  <c r="F378"/>
  <c r="G378" l="1"/>
  <c r="H378" s="1"/>
  <c r="J378" s="1"/>
  <c r="D379" s="1"/>
  <c r="I379" l="1"/>
  <c r="H11" s="1"/>
  <c r="F379"/>
  <c r="H10" l="1"/>
  <c r="G379"/>
  <c r="K379"/>
  <c r="H379" l="1"/>
  <c r="J379" s="1"/>
  <c r="N49" i="4" s="1"/>
  <c r="O49" s="1"/>
  <c r="D10" s="1"/>
  <c r="H8" i="2" l="1"/>
  <c r="H9" s="1"/>
</calcChain>
</file>

<file path=xl/sharedStrings.xml><?xml version="1.0" encoding="utf-8"?>
<sst xmlns="http://schemas.openxmlformats.org/spreadsheetml/2006/main" count="227" uniqueCount="144">
  <si>
    <t>Loan amount</t>
  </si>
  <si>
    <t>Optional extra payments</t>
  </si>
  <si>
    <t>Scheduled payment</t>
  </si>
  <si>
    <t>Scheduled number of payments</t>
  </si>
  <si>
    <t>Actual number of payments</t>
  </si>
  <si>
    <t>Total early payments</t>
  </si>
  <si>
    <t>Total interest</t>
  </si>
  <si>
    <t>ENTER VALUES</t>
  </si>
  <si>
    <t>LOAN SUMMARY</t>
  </si>
  <si>
    <t>LENDER NAME</t>
  </si>
  <si>
    <t>PMT NO</t>
  </si>
  <si>
    <t>PAYMENT DATE</t>
  </si>
  <si>
    <t>BEGINNING BALANCE</t>
  </si>
  <si>
    <t>SCHEDULED PAYMENT</t>
  </si>
  <si>
    <t>EXTRA PAYMENT</t>
  </si>
  <si>
    <t>TOTAL PAYMENT</t>
  </si>
  <si>
    <t>PRINCIPAL</t>
  </si>
  <si>
    <t>INTEREST</t>
  </si>
  <si>
    <t>ENDING BALANCE</t>
  </si>
  <si>
    <t>CUMULATIVE INTEREST</t>
  </si>
  <si>
    <t>Your Bank</t>
  </si>
  <si>
    <t>MORTGAGE AMORTIZATION SCHEDULE</t>
  </si>
  <si>
    <t>Interest rate</t>
  </si>
  <si>
    <t>* SEE CURRENT *</t>
  </si>
  <si>
    <t>Payments made per year</t>
  </si>
  <si>
    <t>Loan term in years</t>
  </si>
  <si>
    <t>Years saved off original loan term</t>
  </si>
  <si>
    <t>Loan repayment start date</t>
  </si>
  <si>
    <t>Purchase Price</t>
  </si>
  <si>
    <t>Down Payment %</t>
  </si>
  <si>
    <t>Down Payment Amount</t>
  </si>
  <si>
    <t>Insurance (Month)</t>
  </si>
  <si>
    <t>Insurance (Year)</t>
  </si>
  <si>
    <t>Tax (Year)</t>
  </si>
  <si>
    <t>Tax (Month)</t>
  </si>
  <si>
    <t>Principal (Month)</t>
  </si>
  <si>
    <t>Interest (Month)</t>
  </si>
  <si>
    <t>PITI (Month)</t>
  </si>
  <si>
    <t>PITI</t>
  </si>
  <si>
    <t>Property Management (10%)</t>
  </si>
  <si>
    <t>Rent</t>
  </si>
  <si>
    <t>Vacancy (2.5%)</t>
  </si>
  <si>
    <t>Water</t>
  </si>
  <si>
    <t>Electricity</t>
  </si>
  <si>
    <t>Gas</t>
  </si>
  <si>
    <t>Total Expenses</t>
  </si>
  <si>
    <t>Monthly Rental Income</t>
  </si>
  <si>
    <t>Monthly Expenses</t>
  </si>
  <si>
    <t>1st YR ROI</t>
  </si>
  <si>
    <t>Yearly ROI</t>
  </si>
  <si>
    <t>Cashflow (Month)</t>
  </si>
  <si>
    <t>Cashflow (Year)</t>
  </si>
  <si>
    <t>Repairs (5%)</t>
  </si>
  <si>
    <t>Months to Scoop Up Initial Cost</t>
  </si>
  <si>
    <t>Initial Cost (Down + Closing)</t>
  </si>
  <si>
    <t>Years to Scoop Up Initial Cost</t>
  </si>
  <si>
    <t>Yr 01</t>
  </si>
  <si>
    <t>Yr 02</t>
  </si>
  <si>
    <t>Yr 03</t>
  </si>
  <si>
    <t>Yr 04</t>
  </si>
  <si>
    <t>Yr 05</t>
  </si>
  <si>
    <t>Yr 06</t>
  </si>
  <si>
    <t>Yr 07</t>
  </si>
  <si>
    <t>Yr 08</t>
  </si>
  <si>
    <t>Yr 09</t>
  </si>
  <si>
    <t>Yr 10</t>
  </si>
  <si>
    <t>Yr 11</t>
  </si>
  <si>
    <t>Yr 12</t>
  </si>
  <si>
    <t>Yr 13</t>
  </si>
  <si>
    <t>Yr 14</t>
  </si>
  <si>
    <t>Yr 15</t>
  </si>
  <si>
    <t>Yr 16</t>
  </si>
  <si>
    <t>Yr 17</t>
  </si>
  <si>
    <t>Yr 18</t>
  </si>
  <si>
    <t>Yr 19</t>
  </si>
  <si>
    <t>Yr 20</t>
  </si>
  <si>
    <t>Yr 21</t>
  </si>
  <si>
    <t>Yr 22</t>
  </si>
  <si>
    <t>Yr 23</t>
  </si>
  <si>
    <t>Yr 24</t>
  </si>
  <si>
    <t>Yr 25</t>
  </si>
  <si>
    <t>Yr 26</t>
  </si>
  <si>
    <t>Yr 27</t>
  </si>
  <si>
    <t>Yr 28</t>
  </si>
  <si>
    <t>Yr 29</t>
  </si>
  <si>
    <t>Yr 30</t>
  </si>
  <si>
    <t>Growth Rate</t>
  </si>
  <si>
    <t>Ending Balance</t>
  </si>
  <si>
    <t>Beginning Balance</t>
  </si>
  <si>
    <t>Beginning Value</t>
  </si>
  <si>
    <t>Ending Value</t>
  </si>
  <si>
    <t>30 Yr Rent Cashflow</t>
  </si>
  <si>
    <t>Property Value Increase per Year (%)</t>
  </si>
  <si>
    <t>Rent Increase per Year (%)</t>
  </si>
  <si>
    <t>Rental Property Total Asset in 30 Yrs</t>
  </si>
  <si>
    <t>Stock Total Asset in 30 Yrs</t>
  </si>
  <si>
    <t>Closing cost</t>
  </si>
  <si>
    <t>Annual Growth %</t>
  </si>
  <si>
    <t>30 Yr Depreciation</t>
  </si>
  <si>
    <t>Beginning Loan Balance</t>
  </si>
  <si>
    <t>Ending Loan Balance</t>
  </si>
  <si>
    <t>Equity</t>
  </si>
  <si>
    <t>Rent Cashflow (Yr)</t>
  </si>
  <si>
    <t>Year</t>
  </si>
  <si>
    <t>Month</t>
  </si>
  <si>
    <t>Own (PITI)</t>
  </si>
  <si>
    <t>Annual Property Value Increase</t>
  </si>
  <si>
    <t>Annual Rent Increase</t>
  </si>
  <si>
    <t>Depreciation (22% bracket)*</t>
  </si>
  <si>
    <t>* Investment properties can benefit "depreciation" in tax filing. Property values are composed of two numbers, "land" and "improvements".</t>
  </si>
  <si>
    <t>* When buying an investment property, read appraisal report to find out "land" value and "improvements" value. The sum of these two are the true property value.</t>
  </si>
  <si>
    <t>* Over the course of 27.5 yrs, the "improvemetns" can depreciate, so each year 3.64% of the purchase price can be tax deducted.</t>
  </si>
  <si>
    <t>* Assumption in the "Depreciation" column is when the "improvements" value is about 70% of the property value and you are in 22% tax bracket.</t>
  </si>
  <si>
    <t>* "Land" value and "Improvements" value vary depending the property value, county, city, state, but the majority of the purchase price of a real estate is "improvements".</t>
  </si>
  <si>
    <t>Rent - Own</t>
  </si>
  <si>
    <t>Stock Market Growth %</t>
  </si>
  <si>
    <t>Down Payment</t>
  </si>
  <si>
    <t>Down Payment Invested in Stock</t>
  </si>
  <si>
    <t>Rent Save Invested in Stock</t>
  </si>
  <si>
    <t>Rent Save (Month)</t>
  </si>
  <si>
    <t>Own Save (Month)</t>
  </si>
  <si>
    <t>Own Save Invested in Stock</t>
  </si>
  <si>
    <t>Rent Scenario</t>
  </si>
  <si>
    <t>Own Scenario</t>
  </si>
  <si>
    <t>Home Value</t>
  </si>
  <si>
    <t>Cummulative Asset</t>
  </si>
  <si>
    <t>Summary</t>
  </si>
  <si>
    <t>5 Yr Mark</t>
  </si>
  <si>
    <t>10 Yr Mark</t>
  </si>
  <si>
    <t>15 Yr Mark</t>
  </si>
  <si>
    <t>20 Yr Mark</t>
  </si>
  <si>
    <t>25 Yr Mark</t>
  </si>
  <si>
    <t>30 Yr Mark</t>
  </si>
  <si>
    <t>Rental Asset</t>
  </si>
  <si>
    <t>Stock Asset</t>
  </si>
  <si>
    <t>NOTHING ON THIS PAGE.
THIS PAGE IS A SPACER.</t>
  </si>
  <si>
    <t>HELOC amount</t>
  </si>
  <si>
    <t>HELOC invested in stock</t>
  </si>
  <si>
    <r>
      <t xml:space="preserve">1. Before comparison, make sure the numbers are entered correctly in 'Primary Residence Mortgage' tab.
</t>
    </r>
    <r>
      <rPr>
        <sz val="12"/>
        <rFont val="Arial"/>
        <family val="2"/>
        <scheme val="minor"/>
      </rPr>
      <t>For example, if purchase price is high and belongs to "jumbo loan" apply appropriate market rate for "jumbo loan". "Tax" and "Insurance" amount should reflect correctly depending on the "Purchase Price" as well.</t>
    </r>
    <r>
      <rPr>
        <sz val="16"/>
        <rFont val="Arial"/>
        <family val="2"/>
        <scheme val="minor"/>
      </rPr>
      <t xml:space="preserve">
2. "Rent" amount on this page must be reasonable market rent assuming the same property is purchased. (For example, Zestimate and Rent Estimate in Zillow.)
3. Less than 20% downpayment is not considered for primary residence to avoid PMI.</t>
    </r>
  </si>
  <si>
    <t>Orange colored cells are the only variables you need to enter and all other cells are calculated by formula.</t>
  </si>
  <si>
    <t>Closing cost (Estimate)</t>
  </si>
  <si>
    <t>Orange colored cells are the only variables you need to enter and all other cells are calculated by formula.
For residual income purposes only. Not for value appreciation investment or rehab/flip investment.</t>
  </si>
  <si>
    <t>Closing cost when sold (%)</t>
  </si>
  <si>
    <t>Own - Rent (if sold)</t>
  </si>
</sst>
</file>

<file path=xl/styles.xml><?xml version="1.0" encoding="utf-8"?>
<styleSheet xmlns="http://schemas.openxmlformats.org/spreadsheetml/2006/main">
  <numFmts count="3">
    <numFmt numFmtId="164" formatCode="&quot;$&quot;#,##0.00"/>
    <numFmt numFmtId="165" formatCode="_-[$$-409]* #,##0.00_ ;_-[$$-409]* \-#,##0.00\ ;_-[$$-409]* &quot;-&quot;??_ ;_-@_ "/>
    <numFmt numFmtId="166" formatCode="0.0"/>
  </numFmts>
  <fonts count="19">
    <font>
      <sz val="11"/>
      <name val="Arial"/>
      <family val="2"/>
      <scheme val="minor"/>
    </font>
    <font>
      <b/>
      <sz val="16"/>
      <color theme="1" tint="0.24994659260841701"/>
      <name val="Microsoft Sans Serif"/>
      <family val="2"/>
      <scheme val="major"/>
    </font>
    <font>
      <b/>
      <sz val="11"/>
      <color theme="3"/>
      <name val="Arial"/>
      <family val="2"/>
      <scheme val="minor"/>
    </font>
    <font>
      <sz val="11"/>
      <color theme="1" tint="0.24994659260841701"/>
      <name val="Arial"/>
      <family val="2"/>
      <scheme val="minor"/>
    </font>
    <font>
      <b/>
      <sz val="11"/>
      <color theme="1" tint="0.24994659260841701"/>
      <name val="Microsoft Sans Serif"/>
      <family val="2"/>
      <scheme val="major"/>
    </font>
    <font>
      <i/>
      <sz val="11"/>
      <color theme="1" tint="0.34998626667073579"/>
      <name val="Arial"/>
      <family val="2"/>
      <scheme val="minor"/>
    </font>
    <font>
      <sz val="11"/>
      <name val="Arial"/>
      <family val="2"/>
      <scheme val="minor"/>
    </font>
    <font>
      <b/>
      <sz val="11"/>
      <color theme="0"/>
      <name val="Arial"/>
      <family val="2"/>
      <scheme val="minor"/>
    </font>
    <font>
      <u/>
      <sz val="12"/>
      <color rgb="FF000064"/>
      <name val="Arial"/>
      <family val="2"/>
      <scheme val="minor"/>
    </font>
    <font>
      <sz val="11"/>
      <color theme="1" tint="0.24994659260841701"/>
      <name val="Microsoft Sans Serif"/>
      <family val="2"/>
      <scheme val="major"/>
    </font>
    <font>
      <i/>
      <sz val="11"/>
      <color theme="1" tint="0.24994659260841701"/>
      <name val="Arial"/>
      <family val="2"/>
      <scheme val="minor"/>
    </font>
    <font>
      <b/>
      <sz val="11"/>
      <name val="Arial"/>
      <family val="2"/>
      <scheme val="minor"/>
    </font>
    <font>
      <b/>
      <sz val="11"/>
      <color theme="1" tint="0.24994659260841701"/>
      <name val="Arial"/>
      <family val="2"/>
      <scheme val="minor"/>
    </font>
    <font>
      <b/>
      <sz val="14"/>
      <name val="Arial"/>
      <family val="2"/>
      <scheme val="minor"/>
    </font>
    <font>
      <b/>
      <sz val="16"/>
      <name val="Arial"/>
      <family val="2"/>
      <scheme val="minor"/>
    </font>
    <font>
      <b/>
      <sz val="26"/>
      <name val="Arial"/>
      <family val="2"/>
      <scheme val="minor"/>
    </font>
    <font>
      <sz val="12"/>
      <name val="Arial"/>
      <family val="2"/>
      <scheme val="minor"/>
    </font>
    <font>
      <sz val="16"/>
      <name val="Arial"/>
      <family val="2"/>
      <scheme val="minor"/>
    </font>
    <font>
      <sz val="11"/>
      <color theme="0"/>
      <name val="Arial"/>
      <family val="2"/>
      <scheme val="minor"/>
    </font>
  </fonts>
  <fills count="10">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rgb="FF20394C"/>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0070C0"/>
        <bgColor indexed="64"/>
      </patternFill>
    </fill>
  </fills>
  <borders count="31">
    <border>
      <left/>
      <right/>
      <top/>
      <bottom/>
      <diagonal/>
    </border>
    <border>
      <left/>
      <right/>
      <top style="thin">
        <color theme="1" tint="0.499984740745262"/>
      </top>
      <bottom style="thin">
        <color theme="1" tint="0.499984740745262"/>
      </bottom>
      <diagonal/>
    </border>
    <border>
      <left/>
      <right/>
      <top/>
      <bottom style="medium">
        <color rgb="FF00B0F0"/>
      </bottom>
      <diagonal/>
    </border>
    <border>
      <left/>
      <right/>
      <top/>
      <bottom style="thin">
        <color theme="1" tint="0.499984740745262"/>
      </bottom>
      <diagonal/>
    </border>
    <border>
      <left/>
      <right/>
      <top/>
      <bottom style="thick">
        <color rgb="FF155776"/>
      </bottom>
      <diagonal/>
    </border>
    <border>
      <left/>
      <right/>
      <top style="thin">
        <color rgb="FF00B0F0"/>
      </top>
      <bottom style="thin">
        <color rgb="FF00B0F0"/>
      </bottom>
      <diagonal/>
    </border>
    <border>
      <left/>
      <right/>
      <top style="medium">
        <color rgb="FF00B0F0"/>
      </top>
      <bottom style="medium">
        <color rgb="FF00B0F0"/>
      </bottom>
      <diagonal/>
    </border>
    <border>
      <left/>
      <right/>
      <top style="medium">
        <color rgb="FF00B0F0"/>
      </top>
      <bottom/>
      <diagonal/>
    </border>
    <border>
      <left/>
      <right/>
      <top style="thin">
        <color theme="1" tint="0.499984740745262"/>
      </top>
      <bottom style="medium">
        <color rgb="FF00B0F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1"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rgb="FF0070C0"/>
      </bottom>
      <diagonal/>
    </border>
    <border>
      <left/>
      <right style="thick">
        <color rgb="FF0070C0"/>
      </right>
      <top/>
      <bottom/>
      <diagonal/>
    </border>
    <border>
      <left style="thick">
        <color rgb="FF0070C0"/>
      </left>
      <right style="thick">
        <color rgb="FF0070C0"/>
      </right>
      <top/>
      <bottom/>
      <diagonal/>
    </border>
    <border>
      <left style="thick">
        <color rgb="FF0070C0"/>
      </left>
      <right/>
      <top/>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style="thick">
        <color rgb="FF0070C0"/>
      </right>
      <top style="thick">
        <color rgb="FF0070C0"/>
      </top>
      <bottom/>
      <diagonal/>
    </border>
    <border>
      <left style="thick">
        <color rgb="FF0070C0"/>
      </left>
      <right/>
      <top/>
      <bottom style="thick">
        <color rgb="FF0070C0"/>
      </bottom>
      <diagonal/>
    </border>
    <border>
      <left/>
      <right style="thick">
        <color rgb="FF0070C0"/>
      </right>
      <top/>
      <bottom style="thick">
        <color rgb="FF0070C0"/>
      </bottom>
      <diagonal/>
    </border>
    <border>
      <left style="thick">
        <color rgb="FF0070C0"/>
      </left>
      <right style="thick">
        <color rgb="FF0070C0"/>
      </right>
      <top/>
      <bottom style="thick">
        <color rgb="FF0070C0"/>
      </bottom>
      <diagonal/>
    </border>
  </borders>
  <cellStyleXfs count="15">
    <xf numFmtId="0" fontId="0" fillId="0" borderId="0"/>
    <xf numFmtId="0" fontId="1" fillId="0" borderId="4" applyNumberFormat="0" applyFill="0" applyProtection="0">
      <alignment vertical="center"/>
    </xf>
    <xf numFmtId="0" fontId="4" fillId="0" borderId="2" applyNumberFormat="0" applyFill="0" applyProtection="0">
      <alignment vertical="center"/>
    </xf>
    <xf numFmtId="0" fontId="2" fillId="0" borderId="5" applyNumberFormat="0" applyFill="0" applyProtection="0">
      <alignment vertical="center"/>
    </xf>
    <xf numFmtId="0" fontId="3" fillId="2" borderId="1" applyNumberFormat="0" applyProtection="0">
      <alignment horizontal="right"/>
    </xf>
    <xf numFmtId="0" fontId="5" fillId="0" borderId="1" applyNumberFormat="0" applyProtection="0">
      <alignment vertical="center"/>
    </xf>
    <xf numFmtId="10" fontId="6" fillId="0" borderId="0" applyFont="0" applyFill="0" applyBorder="0" applyAlignment="0" applyProtection="0"/>
    <xf numFmtId="164" fontId="3" fillId="2" borderId="0" applyFont="0" applyFill="0" applyBorder="0" applyAlignment="0" applyProtection="0"/>
    <xf numFmtId="0" fontId="3" fillId="6" borderId="0" applyNumberFormat="0" applyFont="0" applyAlignment="0">
      <alignment horizontal="center" vertical="center" wrapText="1"/>
    </xf>
    <xf numFmtId="0" fontId="7" fillId="5" borderId="0" applyNumberFormat="0" applyBorder="0" applyProtection="0">
      <alignment vertical="center" wrapText="1"/>
    </xf>
    <xf numFmtId="1" fontId="3" fillId="3" borderId="0" applyFont="0" applyFill="0" applyBorder="0" applyAlignment="0"/>
    <xf numFmtId="14" fontId="3" fillId="0" borderId="0" applyFont="0" applyFill="0" applyBorder="0" applyAlignment="0"/>
    <xf numFmtId="164" fontId="3" fillId="2" borderId="0" applyFont="0" applyFill="0" applyBorder="0" applyProtection="0">
      <alignment horizontal="right" indent="2"/>
    </xf>
    <xf numFmtId="0" fontId="7" fillId="4" borderId="0" applyBorder="0" applyProtection="0">
      <alignment horizontal="right" vertical="center" wrapText="1" indent="2"/>
    </xf>
    <xf numFmtId="0" fontId="8" fillId="0" borderId="0" applyNumberFormat="0" applyFill="0" applyBorder="0" applyAlignment="0" applyProtection="0"/>
  </cellStyleXfs>
  <cellXfs count="108">
    <xf numFmtId="0" fontId="0" fillId="0" borderId="0" xfId="0"/>
    <xf numFmtId="0" fontId="1" fillId="0" borderId="4" xfId="1">
      <alignment vertical="center"/>
    </xf>
    <xf numFmtId="0" fontId="4" fillId="0" borderId="2" xfId="2">
      <alignment vertical="center"/>
    </xf>
    <xf numFmtId="0" fontId="2" fillId="0" borderId="5" xfId="3">
      <alignment vertical="center"/>
    </xf>
    <xf numFmtId="1" fontId="0" fillId="0" borderId="0" xfId="10" applyFont="1" applyFill="1" applyBorder="1" applyAlignment="1">
      <alignment horizontal="left"/>
    </xf>
    <xf numFmtId="14" fontId="0" fillId="0" borderId="0" xfId="11" applyFont="1" applyFill="1" applyBorder="1" applyAlignment="1">
      <alignment horizontal="left"/>
    </xf>
    <xf numFmtId="0" fontId="7" fillId="5" borderId="0" xfId="9">
      <alignment vertical="center" wrapText="1"/>
    </xf>
    <xf numFmtId="164" fontId="0" fillId="0" borderId="0" xfId="12" applyFont="1" applyFill="1" applyBorder="1">
      <alignment horizontal="right" indent="2"/>
    </xf>
    <xf numFmtId="1" fontId="0" fillId="6" borderId="0" xfId="10" applyFont="1" applyFill="1" applyBorder="1" applyAlignment="1">
      <alignment horizontal="left"/>
    </xf>
    <xf numFmtId="14" fontId="0" fillId="6" borderId="0" xfId="11" applyFont="1" applyFill="1" applyBorder="1" applyAlignment="1">
      <alignment horizontal="left"/>
    </xf>
    <xf numFmtId="164" fontId="0" fillId="6" borderId="0" xfId="12" applyFont="1" applyFill="1" applyBorder="1">
      <alignment horizontal="right" indent="2"/>
    </xf>
    <xf numFmtId="0" fontId="5" fillId="0" borderId="1" xfId="5">
      <alignment vertical="center"/>
    </xf>
    <xf numFmtId="0" fontId="5" fillId="0" borderId="3" xfId="5" applyBorder="1">
      <alignment vertical="center"/>
    </xf>
    <xf numFmtId="0" fontId="8" fillId="0" borderId="1" xfId="14" applyBorder="1" applyAlignment="1">
      <alignment vertical="center"/>
    </xf>
    <xf numFmtId="0" fontId="10" fillId="0" borderId="6" xfId="2" applyFont="1" applyBorder="1">
      <alignment vertical="center"/>
    </xf>
    <xf numFmtId="0" fontId="9" fillId="0" borderId="6" xfId="2" applyFont="1" applyBorder="1">
      <alignment vertical="center"/>
    </xf>
    <xf numFmtId="0" fontId="10" fillId="0" borderId="2" xfId="2" applyFont="1" applyBorder="1">
      <alignment vertical="center"/>
    </xf>
    <xf numFmtId="0" fontId="9" fillId="0" borderId="2" xfId="2" applyFont="1" applyBorder="1">
      <alignment vertical="center"/>
    </xf>
    <xf numFmtId="0" fontId="5" fillId="0" borderId="1" xfId="5" applyBorder="1">
      <alignment vertical="center"/>
    </xf>
    <xf numFmtId="165" fontId="0" fillId="0" borderId="0" xfId="0" applyNumberFormat="1"/>
    <xf numFmtId="0" fontId="0" fillId="0" borderId="9" xfId="0" applyBorder="1"/>
    <xf numFmtId="165" fontId="0" fillId="0" borderId="10" xfId="0" applyNumberFormat="1" applyBorder="1"/>
    <xf numFmtId="10" fontId="0" fillId="0" borderId="0" xfId="6" applyFont="1"/>
    <xf numFmtId="0" fontId="1" fillId="0" borderId="0" xfId="1" applyBorder="1">
      <alignment vertical="center"/>
    </xf>
    <xf numFmtId="0" fontId="0" fillId="0" borderId="0" xfId="0" applyBorder="1"/>
    <xf numFmtId="164" fontId="3" fillId="0" borderId="0" xfId="7" applyFont="1" applyFill="1" applyBorder="1"/>
    <xf numFmtId="0" fontId="5" fillId="0" borderId="0" xfId="5" applyFill="1" applyBorder="1">
      <alignment vertical="center"/>
    </xf>
    <xf numFmtId="0" fontId="0" fillId="0" borderId="0" xfId="0" applyAlignment="1">
      <alignment wrapText="1"/>
    </xf>
    <xf numFmtId="0" fontId="5" fillId="0" borderId="3" xfId="5" applyFont="1" applyBorder="1">
      <alignment vertical="center"/>
    </xf>
    <xf numFmtId="0" fontId="5" fillId="0" borderId="8" xfId="5" applyBorder="1">
      <alignment vertical="center"/>
    </xf>
    <xf numFmtId="0" fontId="5" fillId="0" borderId="11" xfId="5" applyBorder="1">
      <alignment vertical="center"/>
    </xf>
    <xf numFmtId="164" fontId="3" fillId="0" borderId="6" xfId="7" applyFont="1" applyFill="1" applyBorder="1"/>
    <xf numFmtId="1" fontId="3" fillId="0" borderId="0" xfId="10" applyFill="1" applyBorder="1"/>
    <xf numFmtId="1" fontId="3" fillId="0" borderId="1" xfId="10" applyFill="1" applyBorder="1"/>
    <xf numFmtId="164" fontId="3" fillId="0" borderId="11" xfId="7" applyFont="1" applyFill="1" applyBorder="1"/>
    <xf numFmtId="0" fontId="3" fillId="0" borderId="1" xfId="4" applyFill="1" applyAlignment="1"/>
    <xf numFmtId="164" fontId="3" fillId="0" borderId="0" xfId="8" applyNumberFormat="1" applyFill="1" applyBorder="1" applyAlignment="1"/>
    <xf numFmtId="1" fontId="3" fillId="0" borderId="1" xfId="10" applyFill="1" applyBorder="1" applyAlignment="1"/>
    <xf numFmtId="4" fontId="3" fillId="0" borderId="1" xfId="8" applyNumberFormat="1" applyFill="1" applyBorder="1" applyAlignment="1"/>
    <xf numFmtId="164" fontId="3" fillId="0" borderId="1" xfId="8" applyNumberFormat="1" applyFill="1" applyBorder="1" applyAlignment="1"/>
    <xf numFmtId="14" fontId="3" fillId="7" borderId="8" xfId="11" applyFill="1" applyBorder="1"/>
    <xf numFmtId="10" fontId="12" fillId="7" borderId="1" xfId="6" applyFont="1" applyFill="1" applyBorder="1" applyAlignment="1">
      <alignment horizontal="right"/>
    </xf>
    <xf numFmtId="164" fontId="12" fillId="7" borderId="7" xfId="7" applyFont="1" applyFill="1" applyBorder="1"/>
    <xf numFmtId="10" fontId="4" fillId="7" borderId="6" xfId="6" applyFont="1" applyFill="1" applyBorder="1" applyAlignment="1">
      <alignment vertical="center"/>
    </xf>
    <xf numFmtId="165" fontId="11" fillId="7" borderId="0" xfId="0" applyNumberFormat="1" applyFont="1" applyFill="1"/>
    <xf numFmtId="10" fontId="0" fillId="7" borderId="0" xfId="6" applyFont="1" applyFill="1"/>
    <xf numFmtId="0" fontId="4" fillId="0" borderId="4" xfId="1" applyFont="1">
      <alignment vertical="center"/>
    </xf>
    <xf numFmtId="0" fontId="6" fillId="0" borderId="0" xfId="0" applyFont="1"/>
    <xf numFmtId="165" fontId="6" fillId="0" borderId="0" xfId="0" applyNumberFormat="1" applyFont="1"/>
    <xf numFmtId="10" fontId="6" fillId="0" borderId="0" xfId="6" applyFont="1"/>
    <xf numFmtId="1" fontId="6" fillId="0" borderId="0" xfId="0" applyNumberFormat="1" applyFont="1"/>
    <xf numFmtId="166" fontId="6" fillId="0" borderId="0" xfId="0" applyNumberFormat="1" applyFont="1"/>
    <xf numFmtId="0" fontId="4" fillId="0" borderId="0" xfId="1" applyFont="1" applyBorder="1">
      <alignment vertical="center"/>
    </xf>
    <xf numFmtId="0" fontId="6" fillId="0" borderId="0" xfId="0" applyFont="1" applyFill="1" applyBorder="1"/>
    <xf numFmtId="165" fontId="11" fillId="0" borderId="0" xfId="0" applyNumberFormat="1" applyFont="1" applyFill="1" applyBorder="1"/>
    <xf numFmtId="0" fontId="4" fillId="0" borderId="0" xfId="1" applyFont="1" applyFill="1" applyBorder="1">
      <alignment vertical="center"/>
    </xf>
    <xf numFmtId="165" fontId="6" fillId="0" borderId="0" xfId="0" applyNumberFormat="1" applyFont="1" applyFill="1" applyBorder="1"/>
    <xf numFmtId="165" fontId="0" fillId="0" borderId="0" xfId="0" applyNumberFormat="1" applyFont="1"/>
    <xf numFmtId="0" fontId="11" fillId="0" borderId="0" xfId="0" applyFont="1" applyFill="1" applyBorder="1"/>
    <xf numFmtId="0" fontId="11" fillId="8" borderId="20" xfId="0" applyFont="1" applyFill="1" applyBorder="1"/>
    <xf numFmtId="0" fontId="0" fillId="8" borderId="0" xfId="0" applyFill="1"/>
    <xf numFmtId="165" fontId="0" fillId="8" borderId="0" xfId="0" applyNumberFormat="1" applyFill="1"/>
    <xf numFmtId="0" fontId="11" fillId="8" borderId="0" xfId="0" applyFont="1" applyFill="1"/>
    <xf numFmtId="165" fontId="11" fillId="8" borderId="0" xfId="0" applyNumberFormat="1" applyFont="1" applyFill="1"/>
    <xf numFmtId="0" fontId="0" fillId="8" borderId="0" xfId="0" applyFill="1" applyBorder="1"/>
    <xf numFmtId="0" fontId="0" fillId="8" borderId="21" xfId="0" applyFill="1" applyBorder="1"/>
    <xf numFmtId="0" fontId="0" fillId="8" borderId="23" xfId="0" applyFill="1" applyBorder="1"/>
    <xf numFmtId="165" fontId="0" fillId="8" borderId="22" xfId="0" applyNumberFormat="1" applyFill="1" applyBorder="1"/>
    <xf numFmtId="10" fontId="0" fillId="7" borderId="22" xfId="6" applyFont="1" applyFill="1" applyBorder="1"/>
    <xf numFmtId="0" fontId="0" fillId="0" borderId="22" xfId="0" applyBorder="1"/>
    <xf numFmtId="165" fontId="0" fillId="7" borderId="22" xfId="0" applyNumberFormat="1" applyFill="1" applyBorder="1"/>
    <xf numFmtId="165" fontId="0" fillId="8" borderId="27" xfId="0" applyNumberFormat="1" applyFill="1" applyBorder="1"/>
    <xf numFmtId="0" fontId="18" fillId="9" borderId="9" xfId="0" applyFont="1" applyFill="1" applyBorder="1"/>
    <xf numFmtId="165" fontId="18" fillId="9" borderId="10" xfId="0" applyNumberFormat="1" applyFont="1" applyFill="1" applyBorder="1"/>
    <xf numFmtId="0" fontId="17" fillId="0" borderId="0" xfId="0" applyFont="1" applyBorder="1" applyAlignment="1">
      <alignment horizontal="left" indent="1"/>
    </xf>
    <xf numFmtId="0" fontId="14" fillId="0" borderId="0" xfId="0" applyFont="1" applyBorder="1" applyAlignment="1">
      <alignment horizontal="center"/>
    </xf>
    <xf numFmtId="10" fontId="0" fillId="7" borderId="22" xfId="6" applyFont="1" applyFill="1" applyBorder="1" applyAlignment="1"/>
    <xf numFmtId="10" fontId="0" fillId="7" borderId="30" xfId="6" applyFont="1" applyFill="1" applyBorder="1"/>
    <xf numFmtId="165" fontId="11" fillId="0" borderId="0" xfId="0" applyNumberFormat="1" applyFont="1"/>
    <xf numFmtId="0" fontId="13" fillId="7" borderId="0" xfId="0" applyFont="1" applyFill="1" applyAlignment="1">
      <alignment horizontal="center" vertical="center" wrapText="1"/>
    </xf>
    <xf numFmtId="0" fontId="13" fillId="7" borderId="0" xfId="0" applyFont="1" applyFill="1" applyAlignment="1">
      <alignment horizontal="center" vertical="center"/>
    </xf>
    <xf numFmtId="0" fontId="1" fillId="0" borderId="4" xfId="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4" fillId="0" borderId="20" xfId="0" applyFont="1" applyBorder="1" applyAlignment="1">
      <alignment horizontal="center"/>
    </xf>
    <xf numFmtId="0" fontId="17" fillId="7" borderId="12" xfId="0" applyFont="1" applyFill="1" applyBorder="1" applyAlignment="1">
      <alignment horizontal="left" vertical="center" wrapText="1" indent="1"/>
    </xf>
    <xf numFmtId="0" fontId="17" fillId="0" borderId="13" xfId="0" applyFont="1" applyBorder="1" applyAlignment="1">
      <alignment horizontal="left" indent="1"/>
    </xf>
    <xf numFmtId="0" fontId="17" fillId="0" borderId="14" xfId="0" applyFont="1" applyBorder="1" applyAlignment="1">
      <alignment horizontal="left" indent="1"/>
    </xf>
    <xf numFmtId="0" fontId="17" fillId="0" borderId="17" xfId="0" applyFont="1" applyBorder="1" applyAlignment="1">
      <alignment horizontal="left" indent="1"/>
    </xf>
    <xf numFmtId="0" fontId="17" fillId="0" borderId="18" xfId="0" applyFont="1" applyBorder="1" applyAlignment="1">
      <alignment horizontal="left" indent="1"/>
    </xf>
    <xf numFmtId="0" fontId="17" fillId="0" borderId="19" xfId="0" applyFont="1" applyBorder="1" applyAlignment="1">
      <alignment horizontal="left" indent="1"/>
    </xf>
    <xf numFmtId="0" fontId="0" fillId="0" borderId="0" xfId="0" applyAlignment="1">
      <alignment horizontal="center" vertical="center"/>
    </xf>
    <xf numFmtId="0" fontId="0" fillId="8" borderId="23" xfId="0" applyFill="1" applyBorder="1" applyAlignment="1">
      <alignment horizontal="center"/>
    </xf>
    <xf numFmtId="0" fontId="0" fillId="8" borderId="0" xfId="0" applyFill="1" applyBorder="1" applyAlignment="1">
      <alignment horizontal="center"/>
    </xf>
    <xf numFmtId="0" fontId="0" fillId="8" borderId="21" xfId="0" applyFill="1" applyBorder="1" applyAlignment="1">
      <alignment horizontal="center"/>
    </xf>
    <xf numFmtId="0" fontId="0" fillId="8" borderId="24" xfId="0" applyFill="1" applyBorder="1" applyAlignment="1">
      <alignment horizontal="center"/>
    </xf>
    <xf numFmtId="0" fontId="0" fillId="8" borderId="25" xfId="0" applyFill="1" applyBorder="1" applyAlignment="1">
      <alignment horizontal="center"/>
    </xf>
    <xf numFmtId="0" fontId="0" fillId="8" borderId="26" xfId="0" applyFill="1"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0" fillId="0" borderId="29" xfId="0" applyBorder="1" applyAlignment="1">
      <alignment horizontal="center"/>
    </xf>
  </cellXfs>
  <cellStyles count="15">
    <cellStyle name="Amount" xfId="7"/>
    <cellStyle name="Date" xfId="11"/>
    <cellStyle name="Explanatory Text" xfId="5" builtinId="53" customBuiltin="1"/>
    <cellStyle name="Heading 1" xfId="1" builtinId="16" customBuiltin="1"/>
    <cellStyle name="Heading 2" xfId="2" builtinId="17" customBuiltin="1"/>
    <cellStyle name="Heading 3" xfId="3" builtinId="18" customBuiltin="1"/>
    <cellStyle name="Heading 4" xfId="9" builtinId="19" customBuiltin="1"/>
    <cellStyle name="Heading 4 Right aligned" xfId="13"/>
    <cellStyle name="Hyperlink" xfId="14" builtinId="8" customBuiltin="1"/>
    <cellStyle name="Input" xfId="4" builtinId="20" customBuiltin="1"/>
    <cellStyle name="Loan Summary" xfId="8"/>
    <cellStyle name="Normal" xfId="0" builtinId="0" customBuiltin="1"/>
    <cellStyle name="Number" xfId="10"/>
    <cellStyle name="Percent" xfId="6" builtinId="5" customBuiltin="1"/>
    <cellStyle name="Table Amount" xfId="12"/>
  </cellStyles>
  <dxfs count="9">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8168889431442"/>
          <bgColor theme="4" tint="0.79998168889431442"/>
        </patternFill>
      </fill>
    </dxf>
    <dxf>
      <font>
        <color theme="1" tint="0.24994659260841701"/>
      </font>
    </dxf>
    <dxf>
      <font>
        <color theme="1" tint="0.24994659260841701"/>
      </font>
    </dxf>
    <dxf>
      <font>
        <color theme="1" tint="0.24994659260841701"/>
      </font>
      <border>
        <top style="double">
          <color theme="4"/>
        </top>
      </border>
    </dxf>
    <dxf>
      <font>
        <b/>
        <i val="0"/>
        <color theme="0"/>
      </font>
      <fill>
        <patternFill patternType="solid">
          <fgColor theme="4"/>
          <bgColor theme="4" tint="-0.499984740745262"/>
        </patternFill>
      </fill>
    </dxf>
    <dxf>
      <font>
        <color theme="1" tint="0.2499465926084170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2" defaultPivotStyle="PivotStyleLight16">
    <tableStyle name="Loan Amortization Schedule" pivot="0" count="7">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55776"/>
      <color rgb="FF003399"/>
      <color rgb="FF20394C"/>
      <color rgb="FF000064"/>
      <color rgb="FF1557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PaymentSchedule" displayName="PaymentSchedule" ref="B19:K379" totalsRowShown="0" headerRowCellStyle="Heading 4">
  <tableColumns count="10">
    <tableColumn id="1" name="PMT NO" dataCellStyle="Number">
      <calculatedColumnFormula>IF(LoanIsGood,IF(ROW()-ROW(PaymentSchedule[[#Headers],[PMT NO]])&gt;ScheduledNumberOfPayments,"",ROW()-ROW(PaymentSchedule[[#Headers],[PMT NO]])),"")</calculatedColumnFormula>
    </tableColumn>
    <tableColumn id="2" name="PAYMENT DATE" dataCellStyle="Date">
      <calculatedColumnFormula>IF(PaymentSchedule[[#This Row],[PMT NO]]&lt;&gt;"",EOMONTH(LoanStartDate,ROW(PaymentSchedule[[#This Row],[PMT NO]])-ROW(PaymentSchedule[[#Headers],[PMT NO]])-2)+DAY(LoanStartDate),"")</calculatedColumnFormula>
    </tableColumn>
    <tableColumn id="3" name="BEGINNING BALANCE" dataCellStyle="Table Amount">
      <calculatedColumnFormula>IF(PaymentSchedule[[#This Row],[PMT NO]]&lt;&gt;"",IF(ROW()-ROW(PaymentSchedule[[#Headers],[BEGINNING BALANCE]])=1,LoanAmount,INDEX([ENDING BALANCE],ROW()-ROW(PaymentSchedule[[#Headers],[BEGINNING BALANCE]])-1)),"")</calculatedColumnFormula>
    </tableColumn>
    <tableColumn id="4" name="SCHEDULED PAYMENT" dataCellStyle="Table Amount">
      <calculatedColumnFormula>IF(PaymentSchedule[[#This Row],[PMT NO]]&lt;&gt;"",ScheduledPayment,"")</calculatedColumnFormula>
    </tableColumn>
    <tableColumn id="5" name="EXTRA PAYMENT" dataCellStyle="Table Amount">
      <calculatedColumnFormula>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calculatedColumnFormula>
    </tableColumn>
    <tableColumn id="6" name="TOTAL PAYMENT" dataCellStyle="Table Amount">
      <calculatedColumnFormula>IF(PaymentSchedule[[#This Row],[PMT NO]]&lt;&gt;"",IF(PaymentSchedule[[#This Row],[SCHEDULED PAYMENT]]+PaymentSchedule[[#This Row],[EXTRA PAYMENT]]&lt;=PaymentSchedule[[#This Row],[BEGINNING BALANCE]],PaymentSchedule[[#This Row],[SCHEDULED PAYMENT]]+PaymentSchedule[[#This Row],[EXTRA PAYMENT]],PaymentSchedule[[#This Row],[BEGINNING BALANCE]]),"")</calculatedColumnFormula>
    </tableColumn>
    <tableColumn id="7" name="PRINCIPAL" dataCellStyle="Table Amount">
      <calculatedColumnFormula>IF(PaymentSchedule[[#This Row],[PMT NO]]&lt;&gt;"",PaymentSchedule[[#This Row],[TOTAL PAYMENT]]-PaymentSchedule[[#This Row],[INTEREST]],"")</calculatedColumnFormula>
    </tableColumn>
    <tableColumn id="8" name="INTEREST" dataCellStyle="Table Amount">
      <calculatedColumnFormula>IF(PaymentSchedule[[#This Row],[PMT NO]]&lt;&gt;"",PaymentSchedule[[#This Row],[BEGINNING BALANCE]]*(InterestRate/PaymentsPerYear),"")</calculatedColumnFormula>
    </tableColumn>
    <tableColumn id="9" name="ENDING BALANCE" dataCellStyle="Table Amount">
      <calculatedColumnFormula>IF(PaymentSchedule[[#This Row],[PMT NO]]&lt;&gt;"",IF(PaymentSchedule[[#This Row],[SCHEDULED PAYMENT]]+PaymentSchedule[[#This Row],[EXTRA PAYMENT]]&lt;=PaymentSchedule[[#This Row],[BEGINNING BALANCE]],PaymentSchedule[[#This Row],[BEGINNING BALANCE]]-PaymentSchedule[[#This Row],[PRINCIPAL]],0),"")</calculatedColumnFormula>
    </tableColumn>
    <tableColumn id="10" name="CUMULATIVE INTEREST" dataCellStyle="Table Amount">
      <calculatedColumnFormula>IF(PaymentSchedule[[#This Row],[PMT NO]]&lt;&gt;"",SUM(INDEX([INTEREST],1,1):PaymentSchedule[[#This Row],[INTEREST]]),"")</calculatedColumnFormula>
    </tableColumn>
  </tableColumns>
  <tableStyleInfo name="TableStyleMedium4" showFirstColumn="0" showLastColumn="0" showRowStripes="1" showColumnStripes="0"/>
  <extLst>
    <ext xmlns:x14="http://schemas.microsoft.com/office/spreadsheetml/2009/9/main" uri="{504A1905-F514-4f6f-8877-14C23A59335A}">
      <x14:table altTextSummary="Track payment number, payment date, beginning balance, ending balance, scheduled payment, extra payment, principal amount, interest and cumulative interest amounts"/>
    </ext>
  </extLst>
</table>
</file>

<file path=xl/tables/table2.xml><?xml version="1.0" encoding="utf-8"?>
<table xmlns="http://schemas.openxmlformats.org/spreadsheetml/2006/main" id="2" name="PaymentSchedule3" displayName="PaymentSchedule3" ref="B16:K376" totalsRowShown="0" headerRowCellStyle="Heading 4">
  <tableColumns count="10">
    <tableColumn id="1" name="PMT NO" dataCellStyle="Number">
      <calculatedColumnFormula>IF(LoanIsGood,IF(ROW()-ROW(PaymentSchedule3[[#Headers],[PMT NO]])&gt;ScheduledNumberOfPayments,"",ROW()-ROW(PaymentSchedule3[[#Headers],[PMT NO]])),"")</calculatedColumnFormula>
    </tableColumn>
    <tableColumn id="2" name="PAYMENT DATE" dataCellStyle="Date">
      <calculatedColumnFormula>IF(PaymentSchedule3[[#This Row],[PMT NO]]&lt;&gt;"",EOMONTH(LoanStartDate,ROW(PaymentSchedule3[[#This Row],[PMT NO]])-ROW(PaymentSchedule3[[#Headers],[PMT NO]])-2)+DAY(LoanStartDate),"")</calculatedColumnFormula>
    </tableColumn>
    <tableColumn id="3" name="BEGINNING BALANCE" dataCellStyle="Table Amount">
      <calculatedColumnFormula>IF(PaymentSchedule3[[#This Row],[PMT NO]]&lt;&gt;"",IF(ROW()-ROW(PaymentSchedule3[[#Headers],[BEGINNING BALANCE]])=1,LoanAmount,INDEX([ENDING BALANCE],ROW()-ROW(PaymentSchedule3[[#Headers],[BEGINNING BALANCE]])-1)),"")</calculatedColumnFormula>
    </tableColumn>
    <tableColumn id="4" name="SCHEDULED PAYMENT" dataCellStyle="Table Amount">
      <calculatedColumnFormula>IF(PaymentSchedule3[[#This Row],[PMT NO]]&lt;&gt;"",ScheduledPayment,"")</calculatedColumnFormula>
    </tableColumn>
    <tableColumn id="5" name="EXTRA PAYMENT" dataCellStyle="Table Amount">
      <calculatedColumnFormula>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name="TOTAL PAYMENT" dataCellStyle="Table Amount">
      <calculatedColumnFormula>IF(PaymentSchedule3[[#This Row],[PMT NO]]&lt;&gt;"",IF(PaymentSchedule3[[#This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name="PRINCIPAL" dataCellStyle="Table Amount">
      <calculatedColumnFormula>IF(PaymentSchedule3[[#This Row],[PMT NO]]&lt;&gt;"",PaymentSchedule3[[#This Row],[TOTAL PAYMENT]]-PaymentSchedule3[[#This Row],[INTEREST]],"")</calculatedColumnFormula>
    </tableColumn>
    <tableColumn id="8" name="INTEREST" dataCellStyle="Table Amount">
      <calculatedColumnFormula>IF(PaymentSchedule3[[#This Row],[PMT NO]]&lt;&gt;"",PaymentSchedule3[[#This Row],[BEGINNING BALANCE]]*(InterestRate/PaymentsPerYear),"")</calculatedColumnFormula>
    </tableColumn>
    <tableColumn id="9" name="ENDING BALANCE" dataCellStyle="Table Amount">
      <calculatedColumnFormula>IF(PaymentSchedule3[[#This Row],[PMT NO]]&lt;&gt;"",IF(PaymentSchedule3[[#This Row],[SCHEDULED PAYMENT]]+PaymentSchedule3[[#This Row],[EXTRA PAYMENT]]&lt;=PaymentSchedule3[[#This Row],[BEGINNING BALANCE]],PaymentSchedule3[[#This Row],[BEGINNING BALANCE]]-PaymentSchedule3[[#This Row],[PRINCIPAL]],0),"")</calculatedColumnFormula>
    </tableColumn>
    <tableColumn id="10" name="CUMULATIVE INTEREST" dataCellStyle="Table Amount">
      <calculatedColumnFormula>IF(PaymentSchedule3[[#This Row],[PMT NO]]&lt;&gt;"",SUM(INDEX([INTEREST],1,1):PaymentSchedule3[[#This Row],[INTEREST]]),"")</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Loan Amortization Schedule">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B580A1"/>
      </a:accent6>
      <a:hlink>
        <a:srgbClr val="82CECC"/>
      </a:hlink>
      <a:folHlink>
        <a:srgbClr val="B580A1"/>
      </a:folHlink>
    </a:clrScheme>
    <a:fontScheme name="Loan Amortization Schedule">
      <a:majorFont>
        <a:latin typeface="Microsoft Sans Serif"/>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bankrate.com/mortgages/mortgage-rates/?pointsChanged=false&amp;searchChanged=true&amp;mortgageType=Purchase&amp;zipCode=16601&amp;partnerId=br3&amp;ttcid&amp;userCreditScore=740&amp;userVeteranStatus=NoMilitaryService&amp;userHadPriorVaLoan=false&amp;userHasVaDisabilities=false&amp;"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s://www.bankrate.com/mortgages/mortgage-rates/?pointsChanged=false&amp;searchChanged=true&amp;mortgageType=Purchase&amp;zipCode=16601&amp;partnerId=br3&amp;ttcid&amp;userCreditScore=740&amp;userVeteranStatus=NoMilitaryService&amp;userHadPriorVaLoan=false&amp;userHasVaDisabilities=false&am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4"/>
    <pageSetUpPr autoPageBreaks="0" fitToPage="1"/>
  </sheetPr>
  <dimension ref="B1:Q379"/>
  <sheetViews>
    <sheetView showGridLines="0" zoomScaleNormal="100" workbookViewId="0">
      <pane ySplit="19" topLeftCell="A20" activePane="bottomLeft" state="frozen"/>
      <selection pane="bottomLeft" activeCell="P23" sqref="P23"/>
    </sheetView>
  </sheetViews>
  <sheetFormatPr defaultRowHeight="14.25"/>
  <cols>
    <col min="1" max="1" width="2.625" customWidth="1"/>
    <col min="2" max="2" width="6.875" customWidth="1"/>
    <col min="3" max="3" width="18" bestFit="1" customWidth="1"/>
    <col min="4" max="4" width="14" bestFit="1" customWidth="1"/>
    <col min="5" max="5" width="12.625" bestFit="1" customWidth="1"/>
    <col min="6" max="6" width="15.625" customWidth="1"/>
    <col min="7" max="9" width="11.875" bestFit="1" customWidth="1"/>
    <col min="10" max="10" width="15.625" customWidth="1"/>
    <col min="11" max="11" width="13.125" bestFit="1" customWidth="1"/>
    <col min="12" max="12" width="5.375" customWidth="1"/>
    <col min="13" max="13" width="32" bestFit="1" customWidth="1"/>
    <col min="14" max="14" width="10" bestFit="1" customWidth="1"/>
    <col min="15" max="15" width="6.875" customWidth="1"/>
    <col min="16" max="17" width="43.875" bestFit="1" customWidth="1"/>
  </cols>
  <sheetData>
    <row r="1" spans="2:16" ht="8.25" customHeight="1"/>
    <row r="2" spans="2:16" ht="56.25" customHeight="1">
      <c r="B2" s="79" t="s">
        <v>141</v>
      </c>
      <c r="C2" s="80"/>
      <c r="D2" s="80"/>
      <c r="E2" s="80"/>
      <c r="F2" s="80"/>
      <c r="G2" s="80"/>
      <c r="H2" s="80"/>
      <c r="I2" s="80"/>
      <c r="J2" s="80"/>
      <c r="K2" s="80"/>
      <c r="L2" s="80"/>
      <c r="M2" s="80"/>
      <c r="N2" s="80"/>
      <c r="O2" s="80"/>
      <c r="P2" s="80"/>
    </row>
    <row r="3" spans="2:16" ht="8.25" customHeight="1"/>
    <row r="4" spans="2:16" ht="21" thickBot="1">
      <c r="B4" s="1" t="s">
        <v>21</v>
      </c>
      <c r="C4" s="1"/>
      <c r="D4" s="1"/>
      <c r="E4" s="1"/>
      <c r="F4" s="1"/>
      <c r="G4" s="1"/>
      <c r="H4" s="1"/>
      <c r="I4" s="23"/>
      <c r="J4" s="1"/>
      <c r="K4" s="1"/>
      <c r="M4" s="46" t="s">
        <v>96</v>
      </c>
      <c r="N4" s="46"/>
      <c r="O4" s="47"/>
      <c r="P4" s="46" t="s">
        <v>50</v>
      </c>
    </row>
    <row r="5" spans="2:16" ht="20.100000000000001" customHeight="1" thickTop="1" thickBot="1">
      <c r="B5" s="2" t="s">
        <v>7</v>
      </c>
      <c r="C5" s="2"/>
      <c r="D5" s="2"/>
      <c r="F5" s="2" t="s">
        <v>8</v>
      </c>
      <c r="G5" s="2"/>
      <c r="H5" s="2"/>
      <c r="I5" s="24"/>
      <c r="J5" t="s">
        <v>35</v>
      </c>
      <c r="K5" s="19">
        <f>H20</f>
        <v>158.02237179106271</v>
      </c>
      <c r="M5" s="47"/>
      <c r="N5" s="44">
        <v>3500</v>
      </c>
      <c r="O5" s="47"/>
      <c r="P5" s="48">
        <f>N7-N16</f>
        <v>206.97762820893729</v>
      </c>
    </row>
    <row r="6" spans="2:16" ht="15.75" thickBot="1">
      <c r="B6" s="14" t="s">
        <v>28</v>
      </c>
      <c r="C6" s="15"/>
      <c r="D6" s="42">
        <v>150000</v>
      </c>
      <c r="F6" s="12" t="s">
        <v>2</v>
      </c>
      <c r="G6" s="12"/>
      <c r="H6" s="36">
        <f>IF(LoanIsGood,-PMT(InterestRate/PaymentsPerYear,ScheduledNumberOfPayments,LoanAmount),"")</f>
        <v>608.02237179106271</v>
      </c>
      <c r="J6" t="s">
        <v>36</v>
      </c>
      <c r="K6" s="19">
        <f>I20</f>
        <v>450</v>
      </c>
      <c r="M6" s="46" t="s">
        <v>46</v>
      </c>
      <c r="N6" s="46"/>
      <c r="O6" s="47"/>
      <c r="P6" s="46" t="s">
        <v>51</v>
      </c>
    </row>
    <row r="7" spans="2:16" ht="15.75" thickBot="1">
      <c r="B7" s="16" t="s">
        <v>29</v>
      </c>
      <c r="C7" s="17"/>
      <c r="D7" s="43">
        <v>0.2</v>
      </c>
      <c r="F7" s="11" t="s">
        <v>3</v>
      </c>
      <c r="G7" s="11"/>
      <c r="H7" s="37">
        <f>IF(LoanIsGood,LoanPeriod*PaymentsPerYear,"")</f>
        <v>360</v>
      </c>
      <c r="J7" t="s">
        <v>33</v>
      </c>
      <c r="K7" s="44">
        <v>1500</v>
      </c>
      <c r="M7" s="47"/>
      <c r="N7" s="44">
        <v>1200</v>
      </c>
      <c r="O7" s="47"/>
      <c r="P7" s="48">
        <f>P5*12</f>
        <v>2483.7315385072475</v>
      </c>
    </row>
    <row r="8" spans="2:16" ht="15" thickBot="1">
      <c r="B8" s="16" t="s">
        <v>30</v>
      </c>
      <c r="C8" s="17"/>
      <c r="D8" s="31">
        <f>D6*D7</f>
        <v>30000</v>
      </c>
      <c r="F8" s="11" t="s">
        <v>4</v>
      </c>
      <c r="G8" s="11"/>
      <c r="H8" s="37">
        <f>ActualNumberOfPayments</f>
        <v>360</v>
      </c>
      <c r="J8" t="s">
        <v>34</v>
      </c>
      <c r="K8" s="19">
        <f>K7/12</f>
        <v>125</v>
      </c>
      <c r="M8" s="46" t="s">
        <v>47</v>
      </c>
      <c r="N8" s="46"/>
      <c r="O8" s="47"/>
      <c r="P8" s="46" t="s">
        <v>54</v>
      </c>
    </row>
    <row r="9" spans="2:16" ht="14.25" customHeight="1">
      <c r="B9" s="28" t="s">
        <v>0</v>
      </c>
      <c r="C9" s="28"/>
      <c r="D9" s="25">
        <f>D6-D8</f>
        <v>120000</v>
      </c>
      <c r="F9" s="11" t="s">
        <v>26</v>
      </c>
      <c r="G9" s="11"/>
      <c r="H9" s="38">
        <f>(H7-H8)/D12</f>
        <v>0</v>
      </c>
      <c r="J9" t="s">
        <v>32</v>
      </c>
      <c r="K9" s="44">
        <v>600</v>
      </c>
      <c r="M9" s="47" t="s">
        <v>38</v>
      </c>
      <c r="N9" s="48">
        <f>K12</f>
        <v>783.02237179106271</v>
      </c>
      <c r="O9" s="47"/>
      <c r="P9" s="48">
        <f>D8+N5</f>
        <v>33500</v>
      </c>
    </row>
    <row r="10" spans="2:16" ht="15.75" thickBot="1">
      <c r="B10" s="18" t="s">
        <v>22</v>
      </c>
      <c r="C10" s="13" t="s">
        <v>23</v>
      </c>
      <c r="D10" s="41">
        <v>4.4999999999999998E-2</v>
      </c>
      <c r="F10" s="11" t="s">
        <v>5</v>
      </c>
      <c r="G10" s="11"/>
      <c r="H10" s="39">
        <f>TotalEarlyPayments</f>
        <v>0</v>
      </c>
      <c r="J10" t="s">
        <v>31</v>
      </c>
      <c r="K10" s="19">
        <f>K9/12</f>
        <v>50</v>
      </c>
      <c r="M10" s="47" t="s">
        <v>39</v>
      </c>
      <c r="N10" s="44">
        <f>N7*0.1</f>
        <v>120</v>
      </c>
      <c r="O10" s="47"/>
      <c r="P10" s="46" t="s">
        <v>48</v>
      </c>
    </row>
    <row r="11" spans="2:16" ht="15.75" thickTop="1" thickBot="1">
      <c r="B11" s="18" t="s">
        <v>25</v>
      </c>
      <c r="C11" s="18"/>
      <c r="D11" s="32">
        <v>30</v>
      </c>
      <c r="F11" s="11" t="s">
        <v>6</v>
      </c>
      <c r="G11" s="11"/>
      <c r="H11" s="39">
        <f>TotalInterest</f>
        <v>98888.05384477794</v>
      </c>
      <c r="M11" s="47" t="s">
        <v>41</v>
      </c>
      <c r="N11" s="48">
        <f>N7*0.025</f>
        <v>30</v>
      </c>
      <c r="O11" s="47"/>
      <c r="P11" s="49">
        <f>(P5*12)/(D8+N5)</f>
        <v>7.4141239955440225E-2</v>
      </c>
    </row>
    <row r="12" spans="2:16" ht="15.75" thickBot="1">
      <c r="B12" s="18" t="s">
        <v>24</v>
      </c>
      <c r="C12" s="18"/>
      <c r="D12" s="33">
        <v>12</v>
      </c>
      <c r="F12" s="3" t="s">
        <v>9</v>
      </c>
      <c r="G12" s="35" t="s">
        <v>20</v>
      </c>
      <c r="H12" s="35"/>
      <c r="J12" s="20" t="s">
        <v>37</v>
      </c>
      <c r="K12" s="21">
        <f>K5+K6+K8+K10</f>
        <v>783.02237179106271</v>
      </c>
      <c r="M12" s="47" t="s">
        <v>42</v>
      </c>
      <c r="N12" s="48"/>
      <c r="O12" s="47"/>
      <c r="P12" s="46" t="s">
        <v>49</v>
      </c>
    </row>
    <row r="13" spans="2:16" ht="15" thickBot="1">
      <c r="B13" s="29" t="s">
        <v>27</v>
      </c>
      <c r="C13" s="29"/>
      <c r="D13" s="40">
        <v>44075</v>
      </c>
      <c r="M13" s="47" t="s">
        <v>43</v>
      </c>
      <c r="N13" s="48"/>
      <c r="O13" s="47"/>
      <c r="P13" s="49">
        <f>(P5*12)/D8</f>
        <v>8.2791051283574918E-2</v>
      </c>
    </row>
    <row r="14" spans="2:16" ht="15" thickBot="1">
      <c r="B14" s="30" t="s">
        <v>1</v>
      </c>
      <c r="C14" s="30"/>
      <c r="D14" s="34"/>
      <c r="M14" s="47" t="s">
        <v>44</v>
      </c>
      <c r="N14" s="48"/>
      <c r="O14" s="47"/>
      <c r="P14" s="46" t="s">
        <v>53</v>
      </c>
    </row>
    <row r="15" spans="2:16" ht="15" thickTop="1">
      <c r="C15" s="26"/>
      <c r="D15" s="26"/>
      <c r="E15" s="25"/>
      <c r="M15" s="47" t="s">
        <v>52</v>
      </c>
      <c r="N15" s="48">
        <f>N7*0.05</f>
        <v>60</v>
      </c>
      <c r="O15" s="47"/>
      <c r="P15" s="50">
        <f>(D8+N5)/P5</f>
        <v>161.85324128935724</v>
      </c>
    </row>
    <row r="16" spans="2:16" ht="15" thickBot="1">
      <c r="C16" s="26"/>
      <c r="D16" s="26"/>
      <c r="E16" s="25"/>
      <c r="M16" s="47" t="s">
        <v>45</v>
      </c>
      <c r="N16" s="48">
        <f>SUM(N9:N15)</f>
        <v>993.02237179106271</v>
      </c>
      <c r="O16" s="47"/>
      <c r="P16" s="46" t="s">
        <v>55</v>
      </c>
    </row>
    <row r="17" spans="2:17" ht="15" thickTop="1">
      <c r="C17" s="26"/>
      <c r="D17" s="26"/>
      <c r="E17" s="25"/>
      <c r="M17" s="47"/>
      <c r="N17" s="48"/>
      <c r="O17" s="47"/>
      <c r="P17" s="51">
        <f>P15/12</f>
        <v>13.487770107446437</v>
      </c>
    </row>
    <row r="18" spans="2:17">
      <c r="Q18" s="24"/>
    </row>
    <row r="19" spans="2:17" ht="35.1" customHeight="1">
      <c r="B19" s="6" t="s">
        <v>10</v>
      </c>
      <c r="C19" s="6" t="s">
        <v>11</v>
      </c>
      <c r="D19" s="6" t="s">
        <v>12</v>
      </c>
      <c r="E19" s="6" t="s">
        <v>13</v>
      </c>
      <c r="F19" s="6" t="s">
        <v>14</v>
      </c>
      <c r="G19" s="6" t="s">
        <v>15</v>
      </c>
      <c r="H19" s="6" t="s">
        <v>16</v>
      </c>
      <c r="I19" s="6" t="s">
        <v>17</v>
      </c>
      <c r="J19" s="6" t="s">
        <v>18</v>
      </c>
      <c r="K19" s="6" t="s">
        <v>19</v>
      </c>
    </row>
    <row r="20" spans="2:17">
      <c r="B20" s="8">
        <f>IF(LoanIsGood,IF(ROW()-ROW(PaymentSchedule[[#Headers],[PMT NO]])&gt;ScheduledNumberOfPayments,"",ROW()-ROW(PaymentSchedule[[#Headers],[PMT NO]])),"")</f>
        <v>1</v>
      </c>
      <c r="C20" s="5">
        <f>IF(PaymentSchedule[[#This Row],[PMT NO]]&lt;&gt;"",EOMONTH(LoanStartDate,ROW(PaymentSchedule[[#This Row],[PMT NO]])-ROW(PaymentSchedule[[#Headers],[PMT NO]])-2)+DAY(LoanStartDate),"")</f>
        <v>44075</v>
      </c>
      <c r="D20" s="7">
        <f>IF(PaymentSchedule[[#This Row],[PMT NO]]&lt;&gt;"",IF(ROW()-ROW(PaymentSchedule[[#Headers],[BEGINNING BALANCE]])=1,LoanAmount,INDEX([ENDING BALANCE],ROW()-ROW(PaymentSchedule[[#Headers],[BEGINNING BALANCE]])-1)),"")</f>
        <v>120000</v>
      </c>
      <c r="E20" s="7">
        <f>IF(PaymentSchedule[[#This Row],[PMT NO]]&lt;&gt;"",ScheduledPayment,"")</f>
        <v>608.02237179106271</v>
      </c>
      <c r="F2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 s="7">
        <f>IF(PaymentSchedule[[#This Row],[PMT NO]]&lt;&gt;"",PaymentSchedule[[#This Row],[TOTAL PAYMENT]]-PaymentSchedule[[#This Row],[INTEREST]],"")</f>
        <v>158.02237179106271</v>
      </c>
      <c r="I20" s="7">
        <f>IF(PaymentSchedule[[#This Row],[PMT NO]]&lt;&gt;"",PaymentSchedule[[#This Row],[BEGINNING BALANCE]]*(InterestRate/PaymentsPerYear),"")</f>
        <v>450</v>
      </c>
      <c r="J20" s="7">
        <f>IF(PaymentSchedule[[#This Row],[PMT NO]]&lt;&gt;"",IF(PaymentSchedule[[#This Row],[SCHEDULED PAYMENT]]+PaymentSchedule[[#This Row],[EXTRA PAYMENT]]&lt;=PaymentSchedule[[#This Row],[BEGINNING BALANCE]],PaymentSchedule[[#This Row],[BEGINNING BALANCE]]-PaymentSchedule[[#This Row],[PRINCIPAL]],0),"")</f>
        <v>119841.97762820894</v>
      </c>
      <c r="K20" s="7">
        <f>IF(PaymentSchedule[[#This Row],[PMT NO]]&lt;&gt;"",SUM(INDEX([INTEREST],1,1):PaymentSchedule[[#This Row],[INTEREST]]),"")</f>
        <v>450</v>
      </c>
    </row>
    <row r="21" spans="2:17">
      <c r="B21" s="4">
        <f>IF(LoanIsGood,IF(ROW()-ROW(PaymentSchedule[[#Headers],[PMT NO]])&gt;ScheduledNumberOfPayments,"",ROW()-ROW(PaymentSchedule[[#Headers],[PMT NO]])),"")</f>
        <v>2</v>
      </c>
      <c r="C21" s="5">
        <f>IF(PaymentSchedule[[#This Row],[PMT NO]]&lt;&gt;"",EOMONTH(LoanStartDate,ROW(PaymentSchedule[[#This Row],[PMT NO]])-ROW(PaymentSchedule[[#Headers],[PMT NO]])-2)+DAY(LoanStartDate),"")</f>
        <v>44105</v>
      </c>
      <c r="D21" s="7">
        <f>IF(PaymentSchedule[[#This Row],[PMT NO]]&lt;&gt;"",IF(ROW()-ROW(PaymentSchedule[[#Headers],[BEGINNING BALANCE]])=1,LoanAmount,INDEX([ENDING BALANCE],ROW()-ROW(PaymentSchedule[[#Headers],[BEGINNING BALANCE]])-1)),"")</f>
        <v>119841.97762820894</v>
      </c>
      <c r="E21" s="7">
        <f>IF(PaymentSchedule[[#This Row],[PMT NO]]&lt;&gt;"",ScheduledPayment,"")</f>
        <v>608.02237179106271</v>
      </c>
      <c r="F2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 s="7">
        <f>IF(PaymentSchedule[[#This Row],[PMT NO]]&lt;&gt;"",PaymentSchedule[[#This Row],[TOTAL PAYMENT]]-PaymentSchedule[[#This Row],[INTEREST]],"")</f>
        <v>158.6149556852792</v>
      </c>
      <c r="I21" s="7">
        <f>IF(PaymentSchedule[[#This Row],[PMT NO]]&lt;&gt;"",PaymentSchedule[[#This Row],[BEGINNING BALANCE]]*(InterestRate/PaymentsPerYear),"")</f>
        <v>449.40741610578351</v>
      </c>
      <c r="J21" s="7">
        <f>IF(PaymentSchedule[[#This Row],[PMT NO]]&lt;&gt;"",IF(PaymentSchedule[[#This Row],[SCHEDULED PAYMENT]]+PaymentSchedule[[#This Row],[EXTRA PAYMENT]]&lt;=PaymentSchedule[[#This Row],[BEGINNING BALANCE]],PaymentSchedule[[#This Row],[BEGINNING BALANCE]]-PaymentSchedule[[#This Row],[PRINCIPAL]],0),"")</f>
        <v>119683.36267252367</v>
      </c>
      <c r="K21" s="7">
        <f>IF(PaymentSchedule[[#This Row],[PMT NO]]&lt;&gt;"",SUM(INDEX([INTEREST],1,1):PaymentSchedule[[#This Row],[INTEREST]]),"")</f>
        <v>899.40741610578357</v>
      </c>
    </row>
    <row r="22" spans="2:17">
      <c r="B22" s="4">
        <f>IF(LoanIsGood,IF(ROW()-ROW(PaymentSchedule[[#Headers],[PMT NO]])&gt;ScheduledNumberOfPayments,"",ROW()-ROW(PaymentSchedule[[#Headers],[PMT NO]])),"")</f>
        <v>3</v>
      </c>
      <c r="C22" s="5">
        <f>IF(PaymentSchedule[[#This Row],[PMT NO]]&lt;&gt;"",EOMONTH(LoanStartDate,ROW(PaymentSchedule[[#This Row],[PMT NO]])-ROW(PaymentSchedule[[#Headers],[PMT NO]])-2)+DAY(LoanStartDate),"")</f>
        <v>44136</v>
      </c>
      <c r="D22" s="7">
        <f>IF(PaymentSchedule[[#This Row],[PMT NO]]&lt;&gt;"",IF(ROW()-ROW(PaymentSchedule[[#Headers],[BEGINNING BALANCE]])=1,LoanAmount,INDEX([ENDING BALANCE],ROW()-ROW(PaymentSchedule[[#Headers],[BEGINNING BALANCE]])-1)),"")</f>
        <v>119683.36267252367</v>
      </c>
      <c r="E22" s="7">
        <f>IF(PaymentSchedule[[#This Row],[PMT NO]]&lt;&gt;"",ScheduledPayment,"")</f>
        <v>608.02237179106271</v>
      </c>
      <c r="F2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 s="7">
        <f>IF(PaymentSchedule[[#This Row],[PMT NO]]&lt;&gt;"",PaymentSchedule[[#This Row],[TOTAL PAYMENT]]-PaymentSchedule[[#This Row],[INTEREST]],"")</f>
        <v>159.20976176909898</v>
      </c>
      <c r="I22" s="7">
        <f>IF(PaymentSchedule[[#This Row],[PMT NO]]&lt;&gt;"",PaymentSchedule[[#This Row],[BEGINNING BALANCE]]*(InterestRate/PaymentsPerYear),"")</f>
        <v>448.81261002196374</v>
      </c>
      <c r="J22" s="7">
        <f>IF(PaymentSchedule[[#This Row],[PMT NO]]&lt;&gt;"",IF(PaymentSchedule[[#This Row],[SCHEDULED PAYMENT]]+PaymentSchedule[[#This Row],[EXTRA PAYMENT]]&lt;=PaymentSchedule[[#This Row],[BEGINNING BALANCE]],PaymentSchedule[[#This Row],[BEGINNING BALANCE]]-PaymentSchedule[[#This Row],[PRINCIPAL]],0),"")</f>
        <v>119524.15291075456</v>
      </c>
      <c r="K22" s="7">
        <f>IF(PaymentSchedule[[#This Row],[PMT NO]]&lt;&gt;"",SUM(INDEX([INTEREST],1,1):PaymentSchedule[[#This Row],[INTEREST]]),"")</f>
        <v>1348.2200261277474</v>
      </c>
    </row>
    <row r="23" spans="2:17">
      <c r="B23" s="4">
        <f>IF(LoanIsGood,IF(ROW()-ROW(PaymentSchedule[[#Headers],[PMT NO]])&gt;ScheduledNumberOfPayments,"",ROW()-ROW(PaymentSchedule[[#Headers],[PMT NO]])),"")</f>
        <v>4</v>
      </c>
      <c r="C23" s="5">
        <f>IF(PaymentSchedule[[#This Row],[PMT NO]]&lt;&gt;"",EOMONTH(LoanStartDate,ROW(PaymentSchedule[[#This Row],[PMT NO]])-ROW(PaymentSchedule[[#Headers],[PMT NO]])-2)+DAY(LoanStartDate),"")</f>
        <v>44166</v>
      </c>
      <c r="D23" s="7">
        <f>IF(PaymentSchedule[[#This Row],[PMT NO]]&lt;&gt;"",IF(ROW()-ROW(PaymentSchedule[[#Headers],[BEGINNING BALANCE]])=1,LoanAmount,INDEX([ENDING BALANCE],ROW()-ROW(PaymentSchedule[[#Headers],[BEGINNING BALANCE]])-1)),"")</f>
        <v>119524.15291075456</v>
      </c>
      <c r="E23" s="7">
        <f>IF(PaymentSchedule[[#This Row],[PMT NO]]&lt;&gt;"",ScheduledPayment,"")</f>
        <v>608.02237179106271</v>
      </c>
      <c r="F2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 s="7">
        <f>IF(PaymentSchedule[[#This Row],[PMT NO]]&lt;&gt;"",PaymentSchedule[[#This Row],[TOTAL PAYMENT]]-PaymentSchedule[[#This Row],[INTEREST]],"")</f>
        <v>159.80679837573308</v>
      </c>
      <c r="I23" s="7">
        <f>IF(PaymentSchedule[[#This Row],[PMT NO]]&lt;&gt;"",PaymentSchedule[[#This Row],[BEGINNING BALANCE]]*(InterestRate/PaymentsPerYear),"")</f>
        <v>448.21557341532963</v>
      </c>
      <c r="J23" s="7">
        <f>IF(PaymentSchedule[[#This Row],[PMT NO]]&lt;&gt;"",IF(PaymentSchedule[[#This Row],[SCHEDULED PAYMENT]]+PaymentSchedule[[#This Row],[EXTRA PAYMENT]]&lt;=PaymentSchedule[[#This Row],[BEGINNING BALANCE]],PaymentSchedule[[#This Row],[BEGINNING BALANCE]]-PaymentSchedule[[#This Row],[PRINCIPAL]],0),"")</f>
        <v>119364.34611237883</v>
      </c>
      <c r="K23" s="7">
        <f>IF(PaymentSchedule[[#This Row],[PMT NO]]&lt;&gt;"",SUM(INDEX([INTEREST],1,1):PaymentSchedule[[#This Row],[INTEREST]]),"")</f>
        <v>1796.4355995430769</v>
      </c>
    </row>
    <row r="24" spans="2:17">
      <c r="B24" s="4">
        <f>IF(LoanIsGood,IF(ROW()-ROW(PaymentSchedule[[#Headers],[PMT NO]])&gt;ScheduledNumberOfPayments,"",ROW()-ROW(PaymentSchedule[[#Headers],[PMT NO]])),"")</f>
        <v>5</v>
      </c>
      <c r="C24" s="5">
        <f>IF(PaymentSchedule[[#This Row],[PMT NO]]&lt;&gt;"",EOMONTH(LoanStartDate,ROW(PaymentSchedule[[#This Row],[PMT NO]])-ROW(PaymentSchedule[[#Headers],[PMT NO]])-2)+DAY(LoanStartDate),"")</f>
        <v>44197</v>
      </c>
      <c r="D24" s="7">
        <f>IF(PaymentSchedule[[#This Row],[PMT NO]]&lt;&gt;"",IF(ROW()-ROW(PaymentSchedule[[#Headers],[BEGINNING BALANCE]])=1,LoanAmount,INDEX([ENDING BALANCE],ROW()-ROW(PaymentSchedule[[#Headers],[BEGINNING BALANCE]])-1)),"")</f>
        <v>119364.34611237883</v>
      </c>
      <c r="E24" s="7">
        <f>IF(PaymentSchedule[[#This Row],[PMT NO]]&lt;&gt;"",ScheduledPayment,"")</f>
        <v>608.02237179106271</v>
      </c>
      <c r="F2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 s="7">
        <f>IF(PaymentSchedule[[#This Row],[PMT NO]]&lt;&gt;"",PaymentSchedule[[#This Row],[TOTAL PAYMENT]]-PaymentSchedule[[#This Row],[INTEREST]],"")</f>
        <v>160.40607386964211</v>
      </c>
      <c r="I24" s="7">
        <f>IF(PaymentSchedule[[#This Row],[PMT NO]]&lt;&gt;"",PaymentSchedule[[#This Row],[BEGINNING BALANCE]]*(InterestRate/PaymentsPerYear),"")</f>
        <v>447.6162979214206</v>
      </c>
      <c r="J24" s="7">
        <f>IF(PaymentSchedule[[#This Row],[PMT NO]]&lt;&gt;"",IF(PaymentSchedule[[#This Row],[SCHEDULED PAYMENT]]+PaymentSchedule[[#This Row],[EXTRA PAYMENT]]&lt;=PaymentSchedule[[#This Row],[BEGINNING BALANCE]],PaymentSchedule[[#This Row],[BEGINNING BALANCE]]-PaymentSchedule[[#This Row],[PRINCIPAL]],0),"")</f>
        <v>119203.94003850919</v>
      </c>
      <c r="K24" s="7">
        <f>IF(PaymentSchedule[[#This Row],[PMT NO]]&lt;&gt;"",SUM(INDEX([INTEREST],1,1):PaymentSchedule[[#This Row],[INTEREST]]),"")</f>
        <v>2244.0518974644974</v>
      </c>
    </row>
    <row r="25" spans="2:17">
      <c r="B25" s="4">
        <f>IF(LoanIsGood,IF(ROW()-ROW(PaymentSchedule[[#Headers],[PMT NO]])&gt;ScheduledNumberOfPayments,"",ROW()-ROW(PaymentSchedule[[#Headers],[PMT NO]])),"")</f>
        <v>6</v>
      </c>
      <c r="C25" s="5">
        <f>IF(PaymentSchedule[[#This Row],[PMT NO]]&lt;&gt;"",EOMONTH(LoanStartDate,ROW(PaymentSchedule[[#This Row],[PMT NO]])-ROW(PaymentSchedule[[#Headers],[PMT NO]])-2)+DAY(LoanStartDate),"")</f>
        <v>44228</v>
      </c>
      <c r="D25" s="7">
        <f>IF(PaymentSchedule[[#This Row],[PMT NO]]&lt;&gt;"",IF(ROW()-ROW(PaymentSchedule[[#Headers],[BEGINNING BALANCE]])=1,LoanAmount,INDEX([ENDING BALANCE],ROW()-ROW(PaymentSchedule[[#Headers],[BEGINNING BALANCE]])-1)),"")</f>
        <v>119203.94003850919</v>
      </c>
      <c r="E25" s="7">
        <f>IF(PaymentSchedule[[#This Row],[PMT NO]]&lt;&gt;"",ScheduledPayment,"")</f>
        <v>608.02237179106271</v>
      </c>
      <c r="F2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 s="7">
        <f>IF(PaymentSchedule[[#This Row],[PMT NO]]&lt;&gt;"",PaymentSchedule[[#This Row],[TOTAL PAYMENT]]-PaymentSchedule[[#This Row],[INTEREST]],"")</f>
        <v>161.00759664665327</v>
      </c>
      <c r="I25" s="7">
        <f>IF(PaymentSchedule[[#This Row],[PMT NO]]&lt;&gt;"",PaymentSchedule[[#This Row],[BEGINNING BALANCE]]*(InterestRate/PaymentsPerYear),"")</f>
        <v>447.01477514440944</v>
      </c>
      <c r="J25" s="7">
        <f>IF(PaymentSchedule[[#This Row],[PMT NO]]&lt;&gt;"",IF(PaymentSchedule[[#This Row],[SCHEDULED PAYMENT]]+PaymentSchedule[[#This Row],[EXTRA PAYMENT]]&lt;=PaymentSchedule[[#This Row],[BEGINNING BALANCE]],PaymentSchedule[[#This Row],[BEGINNING BALANCE]]-PaymentSchedule[[#This Row],[PRINCIPAL]],0),"")</f>
        <v>119042.93244186253</v>
      </c>
      <c r="K25" s="7">
        <f>IF(PaymentSchedule[[#This Row],[PMT NO]]&lt;&gt;"",SUM(INDEX([INTEREST],1,1):PaymentSchedule[[#This Row],[INTEREST]]),"")</f>
        <v>2691.0666726089066</v>
      </c>
    </row>
    <row r="26" spans="2:17">
      <c r="B26" s="4">
        <f>IF(LoanIsGood,IF(ROW()-ROW(PaymentSchedule[[#Headers],[PMT NO]])&gt;ScheduledNumberOfPayments,"",ROW()-ROW(PaymentSchedule[[#Headers],[PMT NO]])),"")</f>
        <v>7</v>
      </c>
      <c r="C26" s="5">
        <f>IF(PaymentSchedule[[#This Row],[PMT NO]]&lt;&gt;"",EOMONTH(LoanStartDate,ROW(PaymentSchedule[[#This Row],[PMT NO]])-ROW(PaymentSchedule[[#Headers],[PMT NO]])-2)+DAY(LoanStartDate),"")</f>
        <v>44256</v>
      </c>
      <c r="D26" s="7">
        <f>IF(PaymentSchedule[[#This Row],[PMT NO]]&lt;&gt;"",IF(ROW()-ROW(PaymentSchedule[[#Headers],[BEGINNING BALANCE]])=1,LoanAmount,INDEX([ENDING BALANCE],ROW()-ROW(PaymentSchedule[[#Headers],[BEGINNING BALANCE]])-1)),"")</f>
        <v>119042.93244186253</v>
      </c>
      <c r="E26" s="7">
        <f>IF(PaymentSchedule[[#This Row],[PMT NO]]&lt;&gt;"",ScheduledPayment,"")</f>
        <v>608.02237179106271</v>
      </c>
      <c r="F2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 s="7">
        <f>IF(PaymentSchedule[[#This Row],[PMT NO]]&lt;&gt;"",PaymentSchedule[[#This Row],[TOTAL PAYMENT]]-PaymentSchedule[[#This Row],[INTEREST]],"")</f>
        <v>161.61137513407823</v>
      </c>
      <c r="I26" s="7">
        <f>IF(PaymentSchedule[[#This Row],[PMT NO]]&lt;&gt;"",PaymentSchedule[[#This Row],[BEGINNING BALANCE]]*(InterestRate/PaymentsPerYear),"")</f>
        <v>446.41099665698448</v>
      </c>
      <c r="J26" s="7">
        <f>IF(PaymentSchedule[[#This Row],[PMT NO]]&lt;&gt;"",IF(PaymentSchedule[[#This Row],[SCHEDULED PAYMENT]]+PaymentSchedule[[#This Row],[EXTRA PAYMENT]]&lt;=PaymentSchedule[[#This Row],[BEGINNING BALANCE]],PaymentSchedule[[#This Row],[BEGINNING BALANCE]]-PaymentSchedule[[#This Row],[PRINCIPAL]],0),"")</f>
        <v>118881.32106672846</v>
      </c>
      <c r="K26" s="7">
        <f>IF(PaymentSchedule[[#This Row],[PMT NO]]&lt;&gt;"",SUM(INDEX([INTEREST],1,1):PaymentSchedule[[#This Row],[INTEREST]]),"")</f>
        <v>3137.4776692658911</v>
      </c>
    </row>
    <row r="27" spans="2:17">
      <c r="B27" s="4">
        <f>IF(LoanIsGood,IF(ROW()-ROW(PaymentSchedule[[#Headers],[PMT NO]])&gt;ScheduledNumberOfPayments,"",ROW()-ROW(PaymentSchedule[[#Headers],[PMT NO]])),"")</f>
        <v>8</v>
      </c>
      <c r="C27" s="5">
        <f>IF(PaymentSchedule[[#This Row],[PMT NO]]&lt;&gt;"",EOMONTH(LoanStartDate,ROW(PaymentSchedule[[#This Row],[PMT NO]])-ROW(PaymentSchedule[[#Headers],[PMT NO]])-2)+DAY(LoanStartDate),"")</f>
        <v>44287</v>
      </c>
      <c r="D27" s="7">
        <f>IF(PaymentSchedule[[#This Row],[PMT NO]]&lt;&gt;"",IF(ROW()-ROW(PaymentSchedule[[#Headers],[BEGINNING BALANCE]])=1,LoanAmount,INDEX([ENDING BALANCE],ROW()-ROW(PaymentSchedule[[#Headers],[BEGINNING BALANCE]])-1)),"")</f>
        <v>118881.32106672846</v>
      </c>
      <c r="E27" s="7">
        <f>IF(PaymentSchedule[[#This Row],[PMT NO]]&lt;&gt;"",ScheduledPayment,"")</f>
        <v>608.02237179106271</v>
      </c>
      <c r="F2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 s="7">
        <f>IF(PaymentSchedule[[#This Row],[PMT NO]]&lt;&gt;"",PaymentSchedule[[#This Row],[TOTAL PAYMENT]]-PaymentSchedule[[#This Row],[INTEREST]],"")</f>
        <v>162.21741779083101</v>
      </c>
      <c r="I27" s="7">
        <f>IF(PaymentSchedule[[#This Row],[PMT NO]]&lt;&gt;"",PaymentSchedule[[#This Row],[BEGINNING BALANCE]]*(InterestRate/PaymentsPerYear),"")</f>
        <v>445.8049540002317</v>
      </c>
      <c r="J27" s="7">
        <f>IF(PaymentSchedule[[#This Row],[PMT NO]]&lt;&gt;"",IF(PaymentSchedule[[#This Row],[SCHEDULED PAYMENT]]+PaymentSchedule[[#This Row],[EXTRA PAYMENT]]&lt;=PaymentSchedule[[#This Row],[BEGINNING BALANCE]],PaymentSchedule[[#This Row],[BEGINNING BALANCE]]-PaymentSchedule[[#This Row],[PRINCIPAL]],0),"")</f>
        <v>118719.10364893763</v>
      </c>
      <c r="K27" s="7">
        <f>IF(PaymentSchedule[[#This Row],[PMT NO]]&lt;&gt;"",SUM(INDEX([INTEREST],1,1):PaymentSchedule[[#This Row],[INTEREST]]),"")</f>
        <v>3583.2826232661228</v>
      </c>
    </row>
    <row r="28" spans="2:17">
      <c r="B28" s="4">
        <f>IF(LoanIsGood,IF(ROW()-ROW(PaymentSchedule[[#Headers],[PMT NO]])&gt;ScheduledNumberOfPayments,"",ROW()-ROW(PaymentSchedule[[#Headers],[PMT NO]])),"")</f>
        <v>9</v>
      </c>
      <c r="C28" s="5">
        <f>IF(PaymentSchedule[[#This Row],[PMT NO]]&lt;&gt;"",EOMONTH(LoanStartDate,ROW(PaymentSchedule[[#This Row],[PMT NO]])-ROW(PaymentSchedule[[#Headers],[PMT NO]])-2)+DAY(LoanStartDate),"")</f>
        <v>44317</v>
      </c>
      <c r="D28" s="7">
        <f>IF(PaymentSchedule[[#This Row],[PMT NO]]&lt;&gt;"",IF(ROW()-ROW(PaymentSchedule[[#Headers],[BEGINNING BALANCE]])=1,LoanAmount,INDEX([ENDING BALANCE],ROW()-ROW(PaymentSchedule[[#Headers],[BEGINNING BALANCE]])-1)),"")</f>
        <v>118719.10364893763</v>
      </c>
      <c r="E28" s="7">
        <f>IF(PaymentSchedule[[#This Row],[PMT NO]]&lt;&gt;"",ScheduledPayment,"")</f>
        <v>608.02237179106271</v>
      </c>
      <c r="F2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 s="7">
        <f>IF(PaymentSchedule[[#This Row],[PMT NO]]&lt;&gt;"",PaymentSchedule[[#This Row],[TOTAL PAYMENT]]-PaymentSchedule[[#This Row],[INTEREST]],"")</f>
        <v>162.82573310754663</v>
      </c>
      <c r="I28" s="7">
        <f>IF(PaymentSchedule[[#This Row],[PMT NO]]&lt;&gt;"",PaymentSchedule[[#This Row],[BEGINNING BALANCE]]*(InterestRate/PaymentsPerYear),"")</f>
        <v>445.19663868351608</v>
      </c>
      <c r="J28" s="7">
        <f>IF(PaymentSchedule[[#This Row],[PMT NO]]&lt;&gt;"",IF(PaymentSchedule[[#This Row],[SCHEDULED PAYMENT]]+PaymentSchedule[[#This Row],[EXTRA PAYMENT]]&lt;=PaymentSchedule[[#This Row],[BEGINNING BALANCE]],PaymentSchedule[[#This Row],[BEGINNING BALANCE]]-PaymentSchedule[[#This Row],[PRINCIPAL]],0),"")</f>
        <v>118556.27791583008</v>
      </c>
      <c r="K28" s="7">
        <f>IF(PaymentSchedule[[#This Row],[PMT NO]]&lt;&gt;"",SUM(INDEX([INTEREST],1,1):PaymentSchedule[[#This Row],[INTEREST]]),"")</f>
        <v>4028.4792619496388</v>
      </c>
    </row>
    <row r="29" spans="2:17">
      <c r="B29" s="4">
        <f>IF(LoanIsGood,IF(ROW()-ROW(PaymentSchedule[[#Headers],[PMT NO]])&gt;ScheduledNumberOfPayments,"",ROW()-ROW(PaymentSchedule[[#Headers],[PMT NO]])),"")</f>
        <v>10</v>
      </c>
      <c r="C29" s="5">
        <f>IF(PaymentSchedule[[#This Row],[PMT NO]]&lt;&gt;"",EOMONTH(LoanStartDate,ROW(PaymentSchedule[[#This Row],[PMT NO]])-ROW(PaymentSchedule[[#Headers],[PMT NO]])-2)+DAY(LoanStartDate),"")</f>
        <v>44348</v>
      </c>
      <c r="D29" s="7">
        <f>IF(PaymentSchedule[[#This Row],[PMT NO]]&lt;&gt;"",IF(ROW()-ROW(PaymentSchedule[[#Headers],[BEGINNING BALANCE]])=1,LoanAmount,INDEX([ENDING BALANCE],ROW()-ROW(PaymentSchedule[[#Headers],[BEGINNING BALANCE]])-1)),"")</f>
        <v>118556.27791583008</v>
      </c>
      <c r="E29" s="7">
        <f>IF(PaymentSchedule[[#This Row],[PMT NO]]&lt;&gt;"",ScheduledPayment,"")</f>
        <v>608.02237179106271</v>
      </c>
      <c r="F2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 s="7">
        <f>IF(PaymentSchedule[[#This Row],[PMT NO]]&lt;&gt;"",PaymentSchedule[[#This Row],[TOTAL PAYMENT]]-PaymentSchedule[[#This Row],[INTEREST]],"")</f>
        <v>163.43632960669993</v>
      </c>
      <c r="I29" s="7">
        <f>IF(PaymentSchedule[[#This Row],[PMT NO]]&lt;&gt;"",PaymentSchedule[[#This Row],[BEGINNING BALANCE]]*(InterestRate/PaymentsPerYear),"")</f>
        <v>444.58604218436278</v>
      </c>
      <c r="J29" s="7">
        <f>IF(PaymentSchedule[[#This Row],[PMT NO]]&lt;&gt;"",IF(PaymentSchedule[[#This Row],[SCHEDULED PAYMENT]]+PaymentSchedule[[#This Row],[EXTRA PAYMENT]]&lt;=PaymentSchedule[[#This Row],[BEGINNING BALANCE]],PaymentSchedule[[#This Row],[BEGINNING BALANCE]]-PaymentSchedule[[#This Row],[PRINCIPAL]],0),"")</f>
        <v>118392.84158622338</v>
      </c>
      <c r="K29" s="7">
        <f>IF(PaymentSchedule[[#This Row],[PMT NO]]&lt;&gt;"",SUM(INDEX([INTEREST],1,1):PaymentSchedule[[#This Row],[INTEREST]]),"")</f>
        <v>4473.065304134002</v>
      </c>
    </row>
    <row r="30" spans="2:17">
      <c r="B30" s="4">
        <f>IF(LoanIsGood,IF(ROW()-ROW(PaymentSchedule[[#Headers],[PMT NO]])&gt;ScheduledNumberOfPayments,"",ROW()-ROW(PaymentSchedule[[#Headers],[PMT NO]])),"")</f>
        <v>11</v>
      </c>
      <c r="C30" s="5">
        <f>IF(PaymentSchedule[[#This Row],[PMT NO]]&lt;&gt;"",EOMONTH(LoanStartDate,ROW(PaymentSchedule[[#This Row],[PMT NO]])-ROW(PaymentSchedule[[#Headers],[PMT NO]])-2)+DAY(LoanStartDate),"")</f>
        <v>44378</v>
      </c>
      <c r="D30" s="7">
        <f>IF(PaymentSchedule[[#This Row],[PMT NO]]&lt;&gt;"",IF(ROW()-ROW(PaymentSchedule[[#Headers],[BEGINNING BALANCE]])=1,LoanAmount,INDEX([ENDING BALANCE],ROW()-ROW(PaymentSchedule[[#Headers],[BEGINNING BALANCE]])-1)),"")</f>
        <v>118392.84158622338</v>
      </c>
      <c r="E30" s="7">
        <f>IF(PaymentSchedule[[#This Row],[PMT NO]]&lt;&gt;"",ScheduledPayment,"")</f>
        <v>608.02237179106271</v>
      </c>
      <c r="F3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 s="7">
        <f>IF(PaymentSchedule[[#This Row],[PMT NO]]&lt;&gt;"",PaymentSchedule[[#This Row],[TOTAL PAYMENT]]-PaymentSchedule[[#This Row],[INTEREST]],"")</f>
        <v>164.04921584272506</v>
      </c>
      <c r="I30" s="7">
        <f>IF(PaymentSchedule[[#This Row],[PMT NO]]&lt;&gt;"",PaymentSchedule[[#This Row],[BEGINNING BALANCE]]*(InterestRate/PaymentsPerYear),"")</f>
        <v>443.97315594833765</v>
      </c>
      <c r="J30" s="7">
        <f>IF(PaymentSchedule[[#This Row],[PMT NO]]&lt;&gt;"",IF(PaymentSchedule[[#This Row],[SCHEDULED PAYMENT]]+PaymentSchedule[[#This Row],[EXTRA PAYMENT]]&lt;=PaymentSchedule[[#This Row],[BEGINNING BALANCE]],PaymentSchedule[[#This Row],[BEGINNING BALANCE]]-PaymentSchedule[[#This Row],[PRINCIPAL]],0),"")</f>
        <v>118228.79237038066</v>
      </c>
      <c r="K30" s="7">
        <f>IF(PaymentSchedule[[#This Row],[PMT NO]]&lt;&gt;"",SUM(INDEX([INTEREST],1,1):PaymentSchedule[[#This Row],[INTEREST]]),"")</f>
        <v>4917.03846008234</v>
      </c>
    </row>
    <row r="31" spans="2:17">
      <c r="B31" s="4">
        <f>IF(LoanIsGood,IF(ROW()-ROW(PaymentSchedule[[#Headers],[PMT NO]])&gt;ScheduledNumberOfPayments,"",ROW()-ROW(PaymentSchedule[[#Headers],[PMT NO]])),"")</f>
        <v>12</v>
      </c>
      <c r="C31" s="5">
        <f>IF(PaymentSchedule[[#This Row],[PMT NO]]&lt;&gt;"",EOMONTH(LoanStartDate,ROW(PaymentSchedule[[#This Row],[PMT NO]])-ROW(PaymentSchedule[[#Headers],[PMT NO]])-2)+DAY(LoanStartDate),"")</f>
        <v>44409</v>
      </c>
      <c r="D31" s="7">
        <f>IF(PaymentSchedule[[#This Row],[PMT NO]]&lt;&gt;"",IF(ROW()-ROW(PaymentSchedule[[#Headers],[BEGINNING BALANCE]])=1,LoanAmount,INDEX([ENDING BALANCE],ROW()-ROW(PaymentSchedule[[#Headers],[BEGINNING BALANCE]])-1)),"")</f>
        <v>118228.79237038066</v>
      </c>
      <c r="E31" s="7">
        <f>IF(PaymentSchedule[[#This Row],[PMT NO]]&lt;&gt;"",ScheduledPayment,"")</f>
        <v>608.02237179106271</v>
      </c>
      <c r="F3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 s="7">
        <f>IF(PaymentSchedule[[#This Row],[PMT NO]]&lt;&gt;"",PaymentSchedule[[#This Row],[TOTAL PAYMENT]]-PaymentSchedule[[#This Row],[INTEREST]],"")</f>
        <v>164.66440040213524</v>
      </c>
      <c r="I31" s="7">
        <f>IF(PaymentSchedule[[#This Row],[PMT NO]]&lt;&gt;"",PaymentSchedule[[#This Row],[BEGINNING BALANCE]]*(InterestRate/PaymentsPerYear),"")</f>
        <v>443.35797138892747</v>
      </c>
      <c r="J31" s="7">
        <f>IF(PaymentSchedule[[#This Row],[PMT NO]]&lt;&gt;"",IF(PaymentSchedule[[#This Row],[SCHEDULED PAYMENT]]+PaymentSchedule[[#This Row],[EXTRA PAYMENT]]&lt;=PaymentSchedule[[#This Row],[BEGINNING BALANCE]],PaymentSchedule[[#This Row],[BEGINNING BALANCE]]-PaymentSchedule[[#This Row],[PRINCIPAL]],0),"")</f>
        <v>118064.12796997852</v>
      </c>
      <c r="K31" s="7">
        <f>IF(PaymentSchedule[[#This Row],[PMT NO]]&lt;&gt;"",SUM(INDEX([INTEREST],1,1):PaymentSchedule[[#This Row],[INTEREST]]),"")</f>
        <v>5360.3964314712675</v>
      </c>
    </row>
    <row r="32" spans="2:17">
      <c r="B32" s="4">
        <f>IF(LoanIsGood,IF(ROW()-ROW(PaymentSchedule[[#Headers],[PMT NO]])&gt;ScheduledNumberOfPayments,"",ROW()-ROW(PaymentSchedule[[#Headers],[PMT NO]])),"")</f>
        <v>13</v>
      </c>
      <c r="C32" s="5">
        <f>IF(PaymentSchedule[[#This Row],[PMT NO]]&lt;&gt;"",EOMONTH(LoanStartDate,ROW(PaymentSchedule[[#This Row],[PMT NO]])-ROW(PaymentSchedule[[#Headers],[PMT NO]])-2)+DAY(LoanStartDate),"")</f>
        <v>44440</v>
      </c>
      <c r="D32" s="7">
        <f>IF(PaymentSchedule[[#This Row],[PMT NO]]&lt;&gt;"",IF(ROW()-ROW(PaymentSchedule[[#Headers],[BEGINNING BALANCE]])=1,LoanAmount,INDEX([ENDING BALANCE],ROW()-ROW(PaymentSchedule[[#Headers],[BEGINNING BALANCE]])-1)),"")</f>
        <v>118064.12796997852</v>
      </c>
      <c r="E32" s="7">
        <f>IF(PaymentSchedule[[#This Row],[PMT NO]]&lt;&gt;"",ScheduledPayment,"")</f>
        <v>608.02237179106271</v>
      </c>
      <c r="F3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 s="7">
        <f>IF(PaymentSchedule[[#This Row],[PMT NO]]&lt;&gt;"",PaymentSchedule[[#This Row],[TOTAL PAYMENT]]-PaymentSchedule[[#This Row],[INTEREST]],"")</f>
        <v>165.28189190364327</v>
      </c>
      <c r="I32" s="7">
        <f>IF(PaymentSchedule[[#This Row],[PMT NO]]&lt;&gt;"",PaymentSchedule[[#This Row],[BEGINNING BALANCE]]*(InterestRate/PaymentsPerYear),"")</f>
        <v>442.74047988741944</v>
      </c>
      <c r="J32" s="7">
        <f>IF(PaymentSchedule[[#This Row],[PMT NO]]&lt;&gt;"",IF(PaymentSchedule[[#This Row],[SCHEDULED PAYMENT]]+PaymentSchedule[[#This Row],[EXTRA PAYMENT]]&lt;=PaymentSchedule[[#This Row],[BEGINNING BALANCE]],PaymentSchedule[[#This Row],[BEGINNING BALANCE]]-PaymentSchedule[[#This Row],[PRINCIPAL]],0),"")</f>
        <v>117898.84607807489</v>
      </c>
      <c r="K32" s="7">
        <f>IF(PaymentSchedule[[#This Row],[PMT NO]]&lt;&gt;"",SUM(INDEX([INTEREST],1,1):PaymentSchedule[[#This Row],[INTEREST]]),"")</f>
        <v>5803.136911358687</v>
      </c>
    </row>
    <row r="33" spans="2:11">
      <c r="B33" s="4">
        <f>IF(LoanIsGood,IF(ROW()-ROW(PaymentSchedule[[#Headers],[PMT NO]])&gt;ScheduledNumberOfPayments,"",ROW()-ROW(PaymentSchedule[[#Headers],[PMT NO]])),"")</f>
        <v>14</v>
      </c>
      <c r="C33" s="5">
        <f>IF(PaymentSchedule[[#This Row],[PMT NO]]&lt;&gt;"",EOMONTH(LoanStartDate,ROW(PaymentSchedule[[#This Row],[PMT NO]])-ROW(PaymentSchedule[[#Headers],[PMT NO]])-2)+DAY(LoanStartDate),"")</f>
        <v>44470</v>
      </c>
      <c r="D33" s="7">
        <f>IF(PaymentSchedule[[#This Row],[PMT NO]]&lt;&gt;"",IF(ROW()-ROW(PaymentSchedule[[#Headers],[BEGINNING BALANCE]])=1,LoanAmount,INDEX([ENDING BALANCE],ROW()-ROW(PaymentSchedule[[#Headers],[BEGINNING BALANCE]])-1)),"")</f>
        <v>117898.84607807489</v>
      </c>
      <c r="E33" s="7">
        <f>IF(PaymentSchedule[[#This Row],[PMT NO]]&lt;&gt;"",ScheduledPayment,"")</f>
        <v>608.02237179106271</v>
      </c>
      <c r="F3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 s="7">
        <f>IF(PaymentSchedule[[#This Row],[PMT NO]]&lt;&gt;"",PaymentSchedule[[#This Row],[TOTAL PAYMENT]]-PaymentSchedule[[#This Row],[INTEREST]],"")</f>
        <v>165.90169899828192</v>
      </c>
      <c r="I33" s="7">
        <f>IF(PaymentSchedule[[#This Row],[PMT NO]]&lt;&gt;"",PaymentSchedule[[#This Row],[BEGINNING BALANCE]]*(InterestRate/PaymentsPerYear),"")</f>
        <v>442.12067279278079</v>
      </c>
      <c r="J33" s="7">
        <f>IF(PaymentSchedule[[#This Row],[PMT NO]]&lt;&gt;"",IF(PaymentSchedule[[#This Row],[SCHEDULED PAYMENT]]+PaymentSchedule[[#This Row],[EXTRA PAYMENT]]&lt;=PaymentSchedule[[#This Row],[BEGINNING BALANCE]],PaymentSchedule[[#This Row],[BEGINNING BALANCE]]-PaymentSchedule[[#This Row],[PRINCIPAL]],0),"")</f>
        <v>117732.94437907661</v>
      </c>
      <c r="K33" s="7">
        <f>IF(PaymentSchedule[[#This Row],[PMT NO]]&lt;&gt;"",SUM(INDEX([INTEREST],1,1):PaymentSchedule[[#This Row],[INTEREST]]),"")</f>
        <v>6245.2575841514681</v>
      </c>
    </row>
    <row r="34" spans="2:11">
      <c r="B34" s="4">
        <f>IF(LoanIsGood,IF(ROW()-ROW(PaymentSchedule[[#Headers],[PMT NO]])&gt;ScheduledNumberOfPayments,"",ROW()-ROW(PaymentSchedule[[#Headers],[PMT NO]])),"")</f>
        <v>15</v>
      </c>
      <c r="C34" s="5">
        <f>IF(PaymentSchedule[[#This Row],[PMT NO]]&lt;&gt;"",EOMONTH(LoanStartDate,ROW(PaymentSchedule[[#This Row],[PMT NO]])-ROW(PaymentSchedule[[#Headers],[PMT NO]])-2)+DAY(LoanStartDate),"")</f>
        <v>44501</v>
      </c>
      <c r="D34" s="7">
        <f>IF(PaymentSchedule[[#This Row],[PMT NO]]&lt;&gt;"",IF(ROW()-ROW(PaymentSchedule[[#Headers],[BEGINNING BALANCE]])=1,LoanAmount,INDEX([ENDING BALANCE],ROW()-ROW(PaymentSchedule[[#Headers],[BEGINNING BALANCE]])-1)),"")</f>
        <v>117732.94437907661</v>
      </c>
      <c r="E34" s="7">
        <f>IF(PaymentSchedule[[#This Row],[PMT NO]]&lt;&gt;"",ScheduledPayment,"")</f>
        <v>608.02237179106271</v>
      </c>
      <c r="F3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 s="7">
        <f>IF(PaymentSchedule[[#This Row],[PMT NO]]&lt;&gt;"",PaymentSchedule[[#This Row],[TOTAL PAYMENT]]-PaymentSchedule[[#This Row],[INTEREST]],"")</f>
        <v>166.52383036952546</v>
      </c>
      <c r="I34" s="7">
        <f>IF(PaymentSchedule[[#This Row],[PMT NO]]&lt;&gt;"",PaymentSchedule[[#This Row],[BEGINNING BALANCE]]*(InterestRate/PaymentsPerYear),"")</f>
        <v>441.49854142153725</v>
      </c>
      <c r="J34" s="7">
        <f>IF(PaymentSchedule[[#This Row],[PMT NO]]&lt;&gt;"",IF(PaymentSchedule[[#This Row],[SCHEDULED PAYMENT]]+PaymentSchedule[[#This Row],[EXTRA PAYMENT]]&lt;=PaymentSchedule[[#This Row],[BEGINNING BALANCE]],PaymentSchedule[[#This Row],[BEGINNING BALANCE]]-PaymentSchedule[[#This Row],[PRINCIPAL]],0),"")</f>
        <v>117566.42054870709</v>
      </c>
      <c r="K34" s="7">
        <f>IF(PaymentSchedule[[#This Row],[PMT NO]]&lt;&gt;"",SUM(INDEX([INTEREST],1,1):PaymentSchedule[[#This Row],[INTEREST]]),"")</f>
        <v>6686.7561255730052</v>
      </c>
    </row>
    <row r="35" spans="2:11">
      <c r="B35" s="4">
        <f>IF(LoanIsGood,IF(ROW()-ROW(PaymentSchedule[[#Headers],[PMT NO]])&gt;ScheduledNumberOfPayments,"",ROW()-ROW(PaymentSchedule[[#Headers],[PMT NO]])),"")</f>
        <v>16</v>
      </c>
      <c r="C35" s="5">
        <f>IF(PaymentSchedule[[#This Row],[PMT NO]]&lt;&gt;"",EOMONTH(LoanStartDate,ROW(PaymentSchedule[[#This Row],[PMT NO]])-ROW(PaymentSchedule[[#Headers],[PMT NO]])-2)+DAY(LoanStartDate),"")</f>
        <v>44531</v>
      </c>
      <c r="D35" s="7">
        <f>IF(PaymentSchedule[[#This Row],[PMT NO]]&lt;&gt;"",IF(ROW()-ROW(PaymentSchedule[[#Headers],[BEGINNING BALANCE]])=1,LoanAmount,INDEX([ENDING BALANCE],ROW()-ROW(PaymentSchedule[[#Headers],[BEGINNING BALANCE]])-1)),"")</f>
        <v>117566.42054870709</v>
      </c>
      <c r="E35" s="7">
        <f>IF(PaymentSchedule[[#This Row],[PMT NO]]&lt;&gt;"",ScheduledPayment,"")</f>
        <v>608.02237179106271</v>
      </c>
      <c r="F3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 s="7">
        <f>IF(PaymentSchedule[[#This Row],[PMT NO]]&lt;&gt;"",PaymentSchedule[[#This Row],[TOTAL PAYMENT]]-PaymentSchedule[[#This Row],[INTEREST]],"")</f>
        <v>167.14829473341115</v>
      </c>
      <c r="I35" s="7">
        <f>IF(PaymentSchedule[[#This Row],[PMT NO]]&lt;&gt;"",PaymentSchedule[[#This Row],[BEGINNING BALANCE]]*(InterestRate/PaymentsPerYear),"")</f>
        <v>440.87407705765156</v>
      </c>
      <c r="J35" s="7">
        <f>IF(PaymentSchedule[[#This Row],[PMT NO]]&lt;&gt;"",IF(PaymentSchedule[[#This Row],[SCHEDULED PAYMENT]]+PaymentSchedule[[#This Row],[EXTRA PAYMENT]]&lt;=PaymentSchedule[[#This Row],[BEGINNING BALANCE]],PaymentSchedule[[#This Row],[BEGINNING BALANCE]]-PaymentSchedule[[#This Row],[PRINCIPAL]],0),"")</f>
        <v>117399.27225397367</v>
      </c>
      <c r="K35" s="7">
        <f>IF(PaymentSchedule[[#This Row],[PMT NO]]&lt;&gt;"",SUM(INDEX([INTEREST],1,1):PaymentSchedule[[#This Row],[INTEREST]]),"")</f>
        <v>7127.6302026306566</v>
      </c>
    </row>
    <row r="36" spans="2:11">
      <c r="B36" s="4">
        <f>IF(LoanIsGood,IF(ROW()-ROW(PaymentSchedule[[#Headers],[PMT NO]])&gt;ScheduledNumberOfPayments,"",ROW()-ROW(PaymentSchedule[[#Headers],[PMT NO]])),"")</f>
        <v>17</v>
      </c>
      <c r="C36" s="5">
        <f>IF(PaymentSchedule[[#This Row],[PMT NO]]&lt;&gt;"",EOMONTH(LoanStartDate,ROW(PaymentSchedule[[#This Row],[PMT NO]])-ROW(PaymentSchedule[[#Headers],[PMT NO]])-2)+DAY(LoanStartDate),"")</f>
        <v>44562</v>
      </c>
      <c r="D36" s="7">
        <f>IF(PaymentSchedule[[#This Row],[PMT NO]]&lt;&gt;"",IF(ROW()-ROW(PaymentSchedule[[#Headers],[BEGINNING BALANCE]])=1,LoanAmount,INDEX([ENDING BALANCE],ROW()-ROW(PaymentSchedule[[#Headers],[BEGINNING BALANCE]])-1)),"")</f>
        <v>117399.27225397367</v>
      </c>
      <c r="E36" s="7">
        <f>IF(PaymentSchedule[[#This Row],[PMT NO]]&lt;&gt;"",ScheduledPayment,"")</f>
        <v>608.02237179106271</v>
      </c>
      <c r="F3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 s="7">
        <f>IF(PaymentSchedule[[#This Row],[PMT NO]]&lt;&gt;"",PaymentSchedule[[#This Row],[TOTAL PAYMENT]]-PaymentSchedule[[#This Row],[INTEREST]],"")</f>
        <v>167.77510083866144</v>
      </c>
      <c r="I36" s="7">
        <f>IF(PaymentSchedule[[#This Row],[PMT NO]]&lt;&gt;"",PaymentSchedule[[#This Row],[BEGINNING BALANCE]]*(InterestRate/PaymentsPerYear),"")</f>
        <v>440.24727095240127</v>
      </c>
      <c r="J36" s="7">
        <f>IF(PaymentSchedule[[#This Row],[PMT NO]]&lt;&gt;"",IF(PaymentSchedule[[#This Row],[SCHEDULED PAYMENT]]+PaymentSchedule[[#This Row],[EXTRA PAYMENT]]&lt;=PaymentSchedule[[#This Row],[BEGINNING BALANCE]],PaymentSchedule[[#This Row],[BEGINNING BALANCE]]-PaymentSchedule[[#This Row],[PRINCIPAL]],0),"")</f>
        <v>117231.49715313502</v>
      </c>
      <c r="K36" s="7">
        <f>IF(PaymentSchedule[[#This Row],[PMT NO]]&lt;&gt;"",SUM(INDEX([INTEREST],1,1):PaymentSchedule[[#This Row],[INTEREST]]),"")</f>
        <v>7567.8774735830575</v>
      </c>
    </row>
    <row r="37" spans="2:11">
      <c r="B37" s="4">
        <f>IF(LoanIsGood,IF(ROW()-ROW(PaymentSchedule[[#Headers],[PMT NO]])&gt;ScheduledNumberOfPayments,"",ROW()-ROW(PaymentSchedule[[#Headers],[PMT NO]])),"")</f>
        <v>18</v>
      </c>
      <c r="C37" s="5">
        <f>IF(PaymentSchedule[[#This Row],[PMT NO]]&lt;&gt;"",EOMONTH(LoanStartDate,ROW(PaymentSchedule[[#This Row],[PMT NO]])-ROW(PaymentSchedule[[#Headers],[PMT NO]])-2)+DAY(LoanStartDate),"")</f>
        <v>44593</v>
      </c>
      <c r="D37" s="7">
        <f>IF(PaymentSchedule[[#This Row],[PMT NO]]&lt;&gt;"",IF(ROW()-ROW(PaymentSchedule[[#Headers],[BEGINNING BALANCE]])=1,LoanAmount,INDEX([ENDING BALANCE],ROW()-ROW(PaymentSchedule[[#Headers],[BEGINNING BALANCE]])-1)),"")</f>
        <v>117231.49715313502</v>
      </c>
      <c r="E37" s="7">
        <f>IF(PaymentSchedule[[#This Row],[PMT NO]]&lt;&gt;"",ScheduledPayment,"")</f>
        <v>608.02237179106271</v>
      </c>
      <c r="F3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7" s="7">
        <f>IF(PaymentSchedule[[#This Row],[PMT NO]]&lt;&gt;"",PaymentSchedule[[#This Row],[TOTAL PAYMENT]]-PaymentSchedule[[#This Row],[INTEREST]],"")</f>
        <v>168.40425746680643</v>
      </c>
      <c r="I37" s="7">
        <f>IF(PaymentSchedule[[#This Row],[PMT NO]]&lt;&gt;"",PaymentSchedule[[#This Row],[BEGINNING BALANCE]]*(InterestRate/PaymentsPerYear),"")</f>
        <v>439.61811432425628</v>
      </c>
      <c r="J37" s="7">
        <f>IF(PaymentSchedule[[#This Row],[PMT NO]]&lt;&gt;"",IF(PaymentSchedule[[#This Row],[SCHEDULED PAYMENT]]+PaymentSchedule[[#This Row],[EXTRA PAYMENT]]&lt;=PaymentSchedule[[#This Row],[BEGINNING BALANCE]],PaymentSchedule[[#This Row],[BEGINNING BALANCE]]-PaymentSchedule[[#This Row],[PRINCIPAL]],0),"")</f>
        <v>117063.0928956682</v>
      </c>
      <c r="K37" s="7">
        <f>IF(PaymentSchedule[[#This Row],[PMT NO]]&lt;&gt;"",SUM(INDEX([INTEREST],1,1):PaymentSchedule[[#This Row],[INTEREST]]),"")</f>
        <v>8007.4955879073141</v>
      </c>
    </row>
    <row r="38" spans="2:11">
      <c r="B38" s="4">
        <f>IF(LoanIsGood,IF(ROW()-ROW(PaymentSchedule[[#Headers],[PMT NO]])&gt;ScheduledNumberOfPayments,"",ROW()-ROW(PaymentSchedule[[#Headers],[PMT NO]])),"")</f>
        <v>19</v>
      </c>
      <c r="C38" s="5">
        <f>IF(PaymentSchedule[[#This Row],[PMT NO]]&lt;&gt;"",EOMONTH(LoanStartDate,ROW(PaymentSchedule[[#This Row],[PMT NO]])-ROW(PaymentSchedule[[#Headers],[PMT NO]])-2)+DAY(LoanStartDate),"")</f>
        <v>44621</v>
      </c>
      <c r="D38" s="7">
        <f>IF(PaymentSchedule[[#This Row],[PMT NO]]&lt;&gt;"",IF(ROW()-ROW(PaymentSchedule[[#Headers],[BEGINNING BALANCE]])=1,LoanAmount,INDEX([ENDING BALANCE],ROW()-ROW(PaymentSchedule[[#Headers],[BEGINNING BALANCE]])-1)),"")</f>
        <v>117063.0928956682</v>
      </c>
      <c r="E38" s="7">
        <f>IF(PaymentSchedule[[#This Row],[PMT NO]]&lt;&gt;"",ScheduledPayment,"")</f>
        <v>608.02237179106271</v>
      </c>
      <c r="F3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8" s="7">
        <f>IF(PaymentSchedule[[#This Row],[PMT NO]]&lt;&gt;"",PaymentSchedule[[#This Row],[TOTAL PAYMENT]]-PaymentSchedule[[#This Row],[INTEREST]],"")</f>
        <v>169.03577343230694</v>
      </c>
      <c r="I38" s="7">
        <f>IF(PaymentSchedule[[#This Row],[PMT NO]]&lt;&gt;"",PaymentSchedule[[#This Row],[BEGINNING BALANCE]]*(InterestRate/PaymentsPerYear),"")</f>
        <v>438.98659835875577</v>
      </c>
      <c r="J38" s="7">
        <f>IF(PaymentSchedule[[#This Row],[PMT NO]]&lt;&gt;"",IF(PaymentSchedule[[#This Row],[SCHEDULED PAYMENT]]+PaymentSchedule[[#This Row],[EXTRA PAYMENT]]&lt;=PaymentSchedule[[#This Row],[BEGINNING BALANCE]],PaymentSchedule[[#This Row],[BEGINNING BALANCE]]-PaymentSchedule[[#This Row],[PRINCIPAL]],0),"")</f>
        <v>116894.0571222359</v>
      </c>
      <c r="K38" s="7">
        <f>IF(PaymentSchedule[[#This Row],[PMT NO]]&lt;&gt;"",SUM(INDEX([INTEREST],1,1):PaymentSchedule[[#This Row],[INTEREST]]),"")</f>
        <v>8446.4821862660701</v>
      </c>
    </row>
    <row r="39" spans="2:11">
      <c r="B39" s="4">
        <f>IF(LoanIsGood,IF(ROW()-ROW(PaymentSchedule[[#Headers],[PMT NO]])&gt;ScheduledNumberOfPayments,"",ROW()-ROW(PaymentSchedule[[#Headers],[PMT NO]])),"")</f>
        <v>20</v>
      </c>
      <c r="C39" s="5">
        <f>IF(PaymentSchedule[[#This Row],[PMT NO]]&lt;&gt;"",EOMONTH(LoanStartDate,ROW(PaymentSchedule[[#This Row],[PMT NO]])-ROW(PaymentSchedule[[#Headers],[PMT NO]])-2)+DAY(LoanStartDate),"")</f>
        <v>44652</v>
      </c>
      <c r="D39" s="7">
        <f>IF(PaymentSchedule[[#This Row],[PMT NO]]&lt;&gt;"",IF(ROW()-ROW(PaymentSchedule[[#Headers],[BEGINNING BALANCE]])=1,LoanAmount,INDEX([ENDING BALANCE],ROW()-ROW(PaymentSchedule[[#Headers],[BEGINNING BALANCE]])-1)),"")</f>
        <v>116894.0571222359</v>
      </c>
      <c r="E39" s="7">
        <f>IF(PaymentSchedule[[#This Row],[PMT NO]]&lt;&gt;"",ScheduledPayment,"")</f>
        <v>608.02237179106271</v>
      </c>
      <c r="F3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9" s="7">
        <f>IF(PaymentSchedule[[#This Row],[PMT NO]]&lt;&gt;"",PaymentSchedule[[#This Row],[TOTAL PAYMENT]]-PaymentSchedule[[#This Row],[INTEREST]],"")</f>
        <v>169.6696575826781</v>
      </c>
      <c r="I39" s="7">
        <f>IF(PaymentSchedule[[#This Row],[PMT NO]]&lt;&gt;"",PaymentSchedule[[#This Row],[BEGINNING BALANCE]]*(InterestRate/PaymentsPerYear),"")</f>
        <v>438.35271420838461</v>
      </c>
      <c r="J39" s="7">
        <f>IF(PaymentSchedule[[#This Row],[PMT NO]]&lt;&gt;"",IF(PaymentSchedule[[#This Row],[SCHEDULED PAYMENT]]+PaymentSchedule[[#This Row],[EXTRA PAYMENT]]&lt;=PaymentSchedule[[#This Row],[BEGINNING BALANCE]],PaymentSchedule[[#This Row],[BEGINNING BALANCE]]-PaymentSchedule[[#This Row],[PRINCIPAL]],0),"")</f>
        <v>116724.38746465322</v>
      </c>
      <c r="K39" s="7">
        <f>IF(PaymentSchedule[[#This Row],[PMT NO]]&lt;&gt;"",SUM(INDEX([INTEREST],1,1):PaymentSchedule[[#This Row],[INTEREST]]),"")</f>
        <v>8884.8349004744541</v>
      </c>
    </row>
    <row r="40" spans="2:11">
      <c r="B40" s="4">
        <f>IF(LoanIsGood,IF(ROW()-ROW(PaymentSchedule[[#Headers],[PMT NO]])&gt;ScheduledNumberOfPayments,"",ROW()-ROW(PaymentSchedule[[#Headers],[PMT NO]])),"")</f>
        <v>21</v>
      </c>
      <c r="C40" s="5">
        <f>IF(PaymentSchedule[[#This Row],[PMT NO]]&lt;&gt;"",EOMONTH(LoanStartDate,ROW(PaymentSchedule[[#This Row],[PMT NO]])-ROW(PaymentSchedule[[#Headers],[PMT NO]])-2)+DAY(LoanStartDate),"")</f>
        <v>44682</v>
      </c>
      <c r="D40" s="7">
        <f>IF(PaymentSchedule[[#This Row],[PMT NO]]&lt;&gt;"",IF(ROW()-ROW(PaymentSchedule[[#Headers],[BEGINNING BALANCE]])=1,LoanAmount,INDEX([ENDING BALANCE],ROW()-ROW(PaymentSchedule[[#Headers],[BEGINNING BALANCE]])-1)),"")</f>
        <v>116724.38746465322</v>
      </c>
      <c r="E40" s="7">
        <f>IF(PaymentSchedule[[#This Row],[PMT NO]]&lt;&gt;"",ScheduledPayment,"")</f>
        <v>608.02237179106271</v>
      </c>
      <c r="F4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4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40" s="7">
        <f>IF(PaymentSchedule[[#This Row],[PMT NO]]&lt;&gt;"",PaymentSchedule[[#This Row],[TOTAL PAYMENT]]-PaymentSchedule[[#This Row],[INTEREST]],"")</f>
        <v>170.30591879861316</v>
      </c>
      <c r="I40" s="7">
        <f>IF(PaymentSchedule[[#This Row],[PMT NO]]&lt;&gt;"",PaymentSchedule[[#This Row],[BEGINNING BALANCE]]*(InterestRate/PaymentsPerYear),"")</f>
        <v>437.71645299244955</v>
      </c>
      <c r="J40" s="7">
        <f>IF(PaymentSchedule[[#This Row],[PMT NO]]&lt;&gt;"",IF(PaymentSchedule[[#This Row],[SCHEDULED PAYMENT]]+PaymentSchedule[[#This Row],[EXTRA PAYMENT]]&lt;=PaymentSchedule[[#This Row],[BEGINNING BALANCE]],PaymentSchedule[[#This Row],[BEGINNING BALANCE]]-PaymentSchedule[[#This Row],[PRINCIPAL]],0),"")</f>
        <v>116554.08154585461</v>
      </c>
      <c r="K40" s="7">
        <f>IF(PaymentSchedule[[#This Row],[PMT NO]]&lt;&gt;"",SUM(INDEX([INTEREST],1,1):PaymentSchedule[[#This Row],[INTEREST]]),"")</f>
        <v>9322.5513534669044</v>
      </c>
    </row>
    <row r="41" spans="2:11">
      <c r="B41" s="4">
        <f>IF(LoanIsGood,IF(ROW()-ROW(PaymentSchedule[[#Headers],[PMT NO]])&gt;ScheduledNumberOfPayments,"",ROW()-ROW(PaymentSchedule[[#Headers],[PMT NO]])),"")</f>
        <v>22</v>
      </c>
      <c r="C41" s="5">
        <f>IF(PaymentSchedule[[#This Row],[PMT NO]]&lt;&gt;"",EOMONTH(LoanStartDate,ROW(PaymentSchedule[[#This Row],[PMT NO]])-ROW(PaymentSchedule[[#Headers],[PMT NO]])-2)+DAY(LoanStartDate),"")</f>
        <v>44713</v>
      </c>
      <c r="D41" s="7">
        <f>IF(PaymentSchedule[[#This Row],[PMT NO]]&lt;&gt;"",IF(ROW()-ROW(PaymentSchedule[[#Headers],[BEGINNING BALANCE]])=1,LoanAmount,INDEX([ENDING BALANCE],ROW()-ROW(PaymentSchedule[[#Headers],[BEGINNING BALANCE]])-1)),"")</f>
        <v>116554.08154585461</v>
      </c>
      <c r="E41" s="7">
        <f>IF(PaymentSchedule[[#This Row],[PMT NO]]&lt;&gt;"",ScheduledPayment,"")</f>
        <v>608.02237179106271</v>
      </c>
      <c r="F4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4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41" s="7">
        <f>IF(PaymentSchedule[[#This Row],[PMT NO]]&lt;&gt;"",PaymentSchedule[[#This Row],[TOTAL PAYMENT]]-PaymentSchedule[[#This Row],[INTEREST]],"")</f>
        <v>170.9445659941079</v>
      </c>
      <c r="I41" s="7">
        <f>IF(PaymentSchedule[[#This Row],[PMT NO]]&lt;&gt;"",PaymentSchedule[[#This Row],[BEGINNING BALANCE]]*(InterestRate/PaymentsPerYear),"")</f>
        <v>437.07780579695481</v>
      </c>
      <c r="J41" s="7">
        <f>IF(PaymentSchedule[[#This Row],[PMT NO]]&lt;&gt;"",IF(PaymentSchedule[[#This Row],[SCHEDULED PAYMENT]]+PaymentSchedule[[#This Row],[EXTRA PAYMENT]]&lt;=PaymentSchedule[[#This Row],[BEGINNING BALANCE]],PaymentSchedule[[#This Row],[BEGINNING BALANCE]]-PaymentSchedule[[#This Row],[PRINCIPAL]],0),"")</f>
        <v>116383.1369798605</v>
      </c>
      <c r="K41" s="7">
        <f>IF(PaymentSchedule[[#This Row],[PMT NO]]&lt;&gt;"",SUM(INDEX([INTEREST],1,1):PaymentSchedule[[#This Row],[INTEREST]]),"")</f>
        <v>9759.629159263859</v>
      </c>
    </row>
    <row r="42" spans="2:11">
      <c r="B42" s="8">
        <f>IF(LoanIsGood,IF(ROW()-ROW(PaymentSchedule[[#Headers],[PMT NO]])&gt;ScheduledNumberOfPayments,"",ROW()-ROW(PaymentSchedule[[#Headers],[PMT NO]])),"")</f>
        <v>23</v>
      </c>
      <c r="C42" s="9">
        <f>IF(PaymentSchedule[[#This Row],[PMT NO]]&lt;&gt;"",EOMONTH(LoanStartDate,ROW(PaymentSchedule[[#This Row],[PMT NO]])-ROW(PaymentSchedule[[#Headers],[PMT NO]])-2)+DAY(LoanStartDate),"")</f>
        <v>44743</v>
      </c>
      <c r="D42" s="10">
        <f>IF(PaymentSchedule[[#This Row],[PMT NO]]&lt;&gt;"",IF(ROW()-ROW(PaymentSchedule[[#Headers],[BEGINNING BALANCE]])=1,LoanAmount,INDEX([ENDING BALANCE],ROW()-ROW(PaymentSchedule[[#Headers],[BEGINNING BALANCE]])-1)),"")</f>
        <v>116383.1369798605</v>
      </c>
      <c r="E42" s="10">
        <f>IF(PaymentSchedule[[#This Row],[PMT NO]]&lt;&gt;"",ScheduledPayment,"")</f>
        <v>608.02237179106271</v>
      </c>
      <c r="F42" s="10">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42" s="10">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42" s="10">
        <f>IF(PaymentSchedule[[#This Row],[PMT NO]]&lt;&gt;"",PaymentSchedule[[#This Row],[TOTAL PAYMENT]]-PaymentSchedule[[#This Row],[INTEREST]],"")</f>
        <v>171.58560811658583</v>
      </c>
      <c r="I42" s="10">
        <f>IF(PaymentSchedule[[#This Row],[PMT NO]]&lt;&gt;"",PaymentSchedule[[#This Row],[BEGINNING BALANCE]]*(InterestRate/PaymentsPerYear),"")</f>
        <v>436.43676367447688</v>
      </c>
      <c r="J42" s="10">
        <f>IF(PaymentSchedule[[#This Row],[PMT NO]]&lt;&gt;"",IF(PaymentSchedule[[#This Row],[SCHEDULED PAYMENT]]+PaymentSchedule[[#This Row],[EXTRA PAYMENT]]&lt;=PaymentSchedule[[#This Row],[BEGINNING BALANCE]],PaymentSchedule[[#This Row],[BEGINNING BALANCE]]-PaymentSchedule[[#This Row],[PRINCIPAL]],0),"")</f>
        <v>116211.55137174392</v>
      </c>
      <c r="K42" s="10">
        <f>IF(PaymentSchedule[[#This Row],[PMT NO]]&lt;&gt;"",SUM(INDEX([INTEREST],1,1):PaymentSchedule[[#This Row],[INTEREST]]),"")</f>
        <v>10196.065922938336</v>
      </c>
    </row>
    <row r="43" spans="2:11">
      <c r="B43" s="4">
        <f>IF(LoanIsGood,IF(ROW()-ROW(PaymentSchedule[[#Headers],[PMT NO]])&gt;ScheduledNumberOfPayments,"",ROW()-ROW(PaymentSchedule[[#Headers],[PMT NO]])),"")</f>
        <v>24</v>
      </c>
      <c r="C43" s="5">
        <f>IF(PaymentSchedule[[#This Row],[PMT NO]]&lt;&gt;"",EOMONTH(LoanStartDate,ROW(PaymentSchedule[[#This Row],[PMT NO]])-ROW(PaymentSchedule[[#Headers],[PMT NO]])-2)+DAY(LoanStartDate),"")</f>
        <v>44774</v>
      </c>
      <c r="D43" s="7">
        <f>IF(PaymentSchedule[[#This Row],[PMT NO]]&lt;&gt;"",IF(ROW()-ROW(PaymentSchedule[[#Headers],[BEGINNING BALANCE]])=1,LoanAmount,INDEX([ENDING BALANCE],ROW()-ROW(PaymentSchedule[[#Headers],[BEGINNING BALANCE]])-1)),"")</f>
        <v>116211.55137174392</v>
      </c>
      <c r="E43" s="7">
        <f>IF(PaymentSchedule[[#This Row],[PMT NO]]&lt;&gt;"",ScheduledPayment,"")</f>
        <v>608.02237179106271</v>
      </c>
      <c r="F4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4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43" s="7">
        <f>IF(PaymentSchedule[[#This Row],[PMT NO]]&lt;&gt;"",PaymentSchedule[[#This Row],[TOTAL PAYMENT]]-PaymentSchedule[[#This Row],[INTEREST]],"")</f>
        <v>172.22905414702302</v>
      </c>
      <c r="I43" s="7">
        <f>IF(PaymentSchedule[[#This Row],[PMT NO]]&lt;&gt;"",PaymentSchedule[[#This Row],[BEGINNING BALANCE]]*(InterestRate/PaymentsPerYear),"")</f>
        <v>435.79331764403969</v>
      </c>
      <c r="J43" s="7">
        <f>IF(PaymentSchedule[[#This Row],[PMT NO]]&lt;&gt;"",IF(PaymentSchedule[[#This Row],[SCHEDULED PAYMENT]]+PaymentSchedule[[#This Row],[EXTRA PAYMENT]]&lt;=PaymentSchedule[[#This Row],[BEGINNING BALANCE]],PaymentSchedule[[#This Row],[BEGINNING BALANCE]]-PaymentSchedule[[#This Row],[PRINCIPAL]],0),"")</f>
        <v>116039.32231759689</v>
      </c>
      <c r="K43" s="7">
        <f>IF(PaymentSchedule[[#This Row],[PMT NO]]&lt;&gt;"",SUM(INDEX([INTEREST],1,1):PaymentSchedule[[#This Row],[INTEREST]]),"")</f>
        <v>10631.859240582377</v>
      </c>
    </row>
    <row r="44" spans="2:11">
      <c r="B44" s="4">
        <f>IF(LoanIsGood,IF(ROW()-ROW(PaymentSchedule[[#Headers],[PMT NO]])&gt;ScheduledNumberOfPayments,"",ROW()-ROW(PaymentSchedule[[#Headers],[PMT NO]])),"")</f>
        <v>25</v>
      </c>
      <c r="C44" s="5">
        <f>IF(PaymentSchedule[[#This Row],[PMT NO]]&lt;&gt;"",EOMONTH(LoanStartDate,ROW(PaymentSchedule[[#This Row],[PMT NO]])-ROW(PaymentSchedule[[#Headers],[PMT NO]])-2)+DAY(LoanStartDate),"")</f>
        <v>44805</v>
      </c>
      <c r="D44" s="7">
        <f>IF(PaymentSchedule[[#This Row],[PMT NO]]&lt;&gt;"",IF(ROW()-ROW(PaymentSchedule[[#Headers],[BEGINNING BALANCE]])=1,LoanAmount,INDEX([ENDING BALANCE],ROW()-ROW(PaymentSchedule[[#Headers],[BEGINNING BALANCE]])-1)),"")</f>
        <v>116039.32231759689</v>
      </c>
      <c r="E44" s="7">
        <f>IF(PaymentSchedule[[#This Row],[PMT NO]]&lt;&gt;"",ScheduledPayment,"")</f>
        <v>608.02237179106271</v>
      </c>
      <c r="F4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4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44" s="7">
        <f>IF(PaymentSchedule[[#This Row],[PMT NO]]&lt;&gt;"",PaymentSchedule[[#This Row],[TOTAL PAYMENT]]-PaymentSchedule[[#This Row],[INTEREST]],"")</f>
        <v>172.87491310007437</v>
      </c>
      <c r="I44" s="7">
        <f>IF(PaymentSchedule[[#This Row],[PMT NO]]&lt;&gt;"",PaymentSchedule[[#This Row],[BEGINNING BALANCE]]*(InterestRate/PaymentsPerYear),"")</f>
        <v>435.14745869098834</v>
      </c>
      <c r="J44" s="7">
        <f>IF(PaymentSchedule[[#This Row],[PMT NO]]&lt;&gt;"",IF(PaymentSchedule[[#This Row],[SCHEDULED PAYMENT]]+PaymentSchedule[[#This Row],[EXTRA PAYMENT]]&lt;=PaymentSchedule[[#This Row],[BEGINNING BALANCE]],PaymentSchedule[[#This Row],[BEGINNING BALANCE]]-PaymentSchedule[[#This Row],[PRINCIPAL]],0),"")</f>
        <v>115866.44740449681</v>
      </c>
      <c r="K44" s="7">
        <f>IF(PaymentSchedule[[#This Row],[PMT NO]]&lt;&gt;"",SUM(INDEX([INTEREST],1,1):PaymentSchedule[[#This Row],[INTEREST]]),"")</f>
        <v>11067.006699273365</v>
      </c>
    </row>
    <row r="45" spans="2:11">
      <c r="B45" s="4">
        <f>IF(LoanIsGood,IF(ROW()-ROW(PaymentSchedule[[#Headers],[PMT NO]])&gt;ScheduledNumberOfPayments,"",ROW()-ROW(PaymentSchedule[[#Headers],[PMT NO]])),"")</f>
        <v>26</v>
      </c>
      <c r="C45" s="5">
        <f>IF(PaymentSchedule[[#This Row],[PMT NO]]&lt;&gt;"",EOMONTH(LoanStartDate,ROW(PaymentSchedule[[#This Row],[PMT NO]])-ROW(PaymentSchedule[[#Headers],[PMT NO]])-2)+DAY(LoanStartDate),"")</f>
        <v>44835</v>
      </c>
      <c r="D45" s="7">
        <f>IF(PaymentSchedule[[#This Row],[PMT NO]]&lt;&gt;"",IF(ROW()-ROW(PaymentSchedule[[#Headers],[BEGINNING BALANCE]])=1,LoanAmount,INDEX([ENDING BALANCE],ROW()-ROW(PaymentSchedule[[#Headers],[BEGINNING BALANCE]])-1)),"")</f>
        <v>115866.44740449681</v>
      </c>
      <c r="E45" s="7">
        <f>IF(PaymentSchedule[[#This Row],[PMT NO]]&lt;&gt;"",ScheduledPayment,"")</f>
        <v>608.02237179106271</v>
      </c>
      <c r="F4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4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45" s="7">
        <f>IF(PaymentSchedule[[#This Row],[PMT NO]]&lt;&gt;"",PaymentSchedule[[#This Row],[TOTAL PAYMENT]]-PaymentSchedule[[#This Row],[INTEREST]],"")</f>
        <v>173.52319402419971</v>
      </c>
      <c r="I45" s="7">
        <f>IF(PaymentSchedule[[#This Row],[PMT NO]]&lt;&gt;"",PaymentSchedule[[#This Row],[BEGINNING BALANCE]]*(InterestRate/PaymentsPerYear),"")</f>
        <v>434.499177766863</v>
      </c>
      <c r="J45" s="7">
        <f>IF(PaymentSchedule[[#This Row],[PMT NO]]&lt;&gt;"",IF(PaymentSchedule[[#This Row],[SCHEDULED PAYMENT]]+PaymentSchedule[[#This Row],[EXTRA PAYMENT]]&lt;=PaymentSchedule[[#This Row],[BEGINNING BALANCE]],PaymentSchedule[[#This Row],[BEGINNING BALANCE]]-PaymentSchedule[[#This Row],[PRINCIPAL]],0),"")</f>
        <v>115692.92421047261</v>
      </c>
      <c r="K45" s="7">
        <f>IF(PaymentSchedule[[#This Row],[PMT NO]]&lt;&gt;"",SUM(INDEX([INTEREST],1,1):PaymentSchedule[[#This Row],[INTEREST]]),"")</f>
        <v>11501.505877040228</v>
      </c>
    </row>
    <row r="46" spans="2:11">
      <c r="B46" s="4">
        <f>IF(LoanIsGood,IF(ROW()-ROW(PaymentSchedule[[#Headers],[PMT NO]])&gt;ScheduledNumberOfPayments,"",ROW()-ROW(PaymentSchedule[[#Headers],[PMT NO]])),"")</f>
        <v>27</v>
      </c>
      <c r="C46" s="5">
        <f>IF(PaymentSchedule[[#This Row],[PMT NO]]&lt;&gt;"",EOMONTH(LoanStartDate,ROW(PaymentSchedule[[#This Row],[PMT NO]])-ROW(PaymentSchedule[[#Headers],[PMT NO]])-2)+DAY(LoanStartDate),"")</f>
        <v>44866</v>
      </c>
      <c r="D46" s="7">
        <f>IF(PaymentSchedule[[#This Row],[PMT NO]]&lt;&gt;"",IF(ROW()-ROW(PaymentSchedule[[#Headers],[BEGINNING BALANCE]])=1,LoanAmount,INDEX([ENDING BALANCE],ROW()-ROW(PaymentSchedule[[#Headers],[BEGINNING BALANCE]])-1)),"")</f>
        <v>115692.92421047261</v>
      </c>
      <c r="E46" s="7">
        <f>IF(PaymentSchedule[[#This Row],[PMT NO]]&lt;&gt;"",ScheduledPayment,"")</f>
        <v>608.02237179106271</v>
      </c>
      <c r="F4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4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46" s="7">
        <f>IF(PaymentSchedule[[#This Row],[PMT NO]]&lt;&gt;"",PaymentSchedule[[#This Row],[TOTAL PAYMENT]]-PaymentSchedule[[#This Row],[INTEREST]],"")</f>
        <v>174.17390600179044</v>
      </c>
      <c r="I46" s="7">
        <f>IF(PaymentSchedule[[#This Row],[PMT NO]]&lt;&gt;"",PaymentSchedule[[#This Row],[BEGINNING BALANCE]]*(InterestRate/PaymentsPerYear),"")</f>
        <v>433.84846578927227</v>
      </c>
      <c r="J46" s="7">
        <f>IF(PaymentSchedule[[#This Row],[PMT NO]]&lt;&gt;"",IF(PaymentSchedule[[#This Row],[SCHEDULED PAYMENT]]+PaymentSchedule[[#This Row],[EXTRA PAYMENT]]&lt;=PaymentSchedule[[#This Row],[BEGINNING BALANCE]],PaymentSchedule[[#This Row],[BEGINNING BALANCE]]-PaymentSchedule[[#This Row],[PRINCIPAL]],0),"")</f>
        <v>115518.75030447083</v>
      </c>
      <c r="K46" s="7">
        <f>IF(PaymentSchedule[[#This Row],[PMT NO]]&lt;&gt;"",SUM(INDEX([INTEREST],1,1):PaymentSchedule[[#This Row],[INTEREST]]),"")</f>
        <v>11935.354342829502</v>
      </c>
    </row>
    <row r="47" spans="2:11">
      <c r="B47" s="4">
        <f>IF(LoanIsGood,IF(ROW()-ROW(PaymentSchedule[[#Headers],[PMT NO]])&gt;ScheduledNumberOfPayments,"",ROW()-ROW(PaymentSchedule[[#Headers],[PMT NO]])),"")</f>
        <v>28</v>
      </c>
      <c r="C47" s="5">
        <f>IF(PaymentSchedule[[#This Row],[PMT NO]]&lt;&gt;"",EOMONTH(LoanStartDate,ROW(PaymentSchedule[[#This Row],[PMT NO]])-ROW(PaymentSchedule[[#Headers],[PMT NO]])-2)+DAY(LoanStartDate),"")</f>
        <v>44896</v>
      </c>
      <c r="D47" s="7">
        <f>IF(PaymentSchedule[[#This Row],[PMT NO]]&lt;&gt;"",IF(ROW()-ROW(PaymentSchedule[[#Headers],[BEGINNING BALANCE]])=1,LoanAmount,INDEX([ENDING BALANCE],ROW()-ROW(PaymentSchedule[[#Headers],[BEGINNING BALANCE]])-1)),"")</f>
        <v>115518.75030447083</v>
      </c>
      <c r="E47" s="7">
        <f>IF(PaymentSchedule[[#This Row],[PMT NO]]&lt;&gt;"",ScheduledPayment,"")</f>
        <v>608.02237179106271</v>
      </c>
      <c r="F4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4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47" s="7">
        <f>IF(PaymentSchedule[[#This Row],[PMT NO]]&lt;&gt;"",PaymentSchedule[[#This Row],[TOTAL PAYMENT]]-PaymentSchedule[[#This Row],[INTEREST]],"")</f>
        <v>174.8270581492971</v>
      </c>
      <c r="I47" s="7">
        <f>IF(PaymentSchedule[[#This Row],[PMT NO]]&lt;&gt;"",PaymentSchedule[[#This Row],[BEGINNING BALANCE]]*(InterestRate/PaymentsPerYear),"")</f>
        <v>433.19531364176561</v>
      </c>
      <c r="J47" s="7">
        <f>IF(PaymentSchedule[[#This Row],[PMT NO]]&lt;&gt;"",IF(PaymentSchedule[[#This Row],[SCHEDULED PAYMENT]]+PaymentSchedule[[#This Row],[EXTRA PAYMENT]]&lt;=PaymentSchedule[[#This Row],[BEGINNING BALANCE]],PaymentSchedule[[#This Row],[BEGINNING BALANCE]]-PaymentSchedule[[#This Row],[PRINCIPAL]],0),"")</f>
        <v>115343.92324632153</v>
      </c>
      <c r="K47" s="7">
        <f>IF(PaymentSchedule[[#This Row],[PMT NO]]&lt;&gt;"",SUM(INDEX([INTEREST],1,1):PaymentSchedule[[#This Row],[INTEREST]]),"")</f>
        <v>12368.549656471267</v>
      </c>
    </row>
    <row r="48" spans="2:11">
      <c r="B48" s="4">
        <f>IF(LoanIsGood,IF(ROW()-ROW(PaymentSchedule[[#Headers],[PMT NO]])&gt;ScheduledNumberOfPayments,"",ROW()-ROW(PaymentSchedule[[#Headers],[PMT NO]])),"")</f>
        <v>29</v>
      </c>
      <c r="C48" s="5">
        <f>IF(PaymentSchedule[[#This Row],[PMT NO]]&lt;&gt;"",EOMONTH(LoanStartDate,ROW(PaymentSchedule[[#This Row],[PMT NO]])-ROW(PaymentSchedule[[#Headers],[PMT NO]])-2)+DAY(LoanStartDate),"")</f>
        <v>44927</v>
      </c>
      <c r="D48" s="7">
        <f>IF(PaymentSchedule[[#This Row],[PMT NO]]&lt;&gt;"",IF(ROW()-ROW(PaymentSchedule[[#Headers],[BEGINNING BALANCE]])=1,LoanAmount,INDEX([ENDING BALANCE],ROW()-ROW(PaymentSchedule[[#Headers],[BEGINNING BALANCE]])-1)),"")</f>
        <v>115343.92324632153</v>
      </c>
      <c r="E48" s="7">
        <f>IF(PaymentSchedule[[#This Row],[PMT NO]]&lt;&gt;"",ScheduledPayment,"")</f>
        <v>608.02237179106271</v>
      </c>
      <c r="F4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4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48" s="7">
        <f>IF(PaymentSchedule[[#This Row],[PMT NO]]&lt;&gt;"",PaymentSchedule[[#This Row],[TOTAL PAYMENT]]-PaymentSchedule[[#This Row],[INTEREST]],"")</f>
        <v>175.482659617357</v>
      </c>
      <c r="I48" s="7">
        <f>IF(PaymentSchedule[[#This Row],[PMT NO]]&lt;&gt;"",PaymentSchedule[[#This Row],[BEGINNING BALANCE]]*(InterestRate/PaymentsPerYear),"")</f>
        <v>432.53971217370571</v>
      </c>
      <c r="J48" s="7">
        <f>IF(PaymentSchedule[[#This Row],[PMT NO]]&lt;&gt;"",IF(PaymentSchedule[[#This Row],[SCHEDULED PAYMENT]]+PaymentSchedule[[#This Row],[EXTRA PAYMENT]]&lt;=PaymentSchedule[[#This Row],[BEGINNING BALANCE]],PaymentSchedule[[#This Row],[BEGINNING BALANCE]]-PaymentSchedule[[#This Row],[PRINCIPAL]],0),"")</f>
        <v>115168.44058670418</v>
      </c>
      <c r="K48" s="7">
        <f>IF(PaymentSchedule[[#This Row],[PMT NO]]&lt;&gt;"",SUM(INDEX([INTEREST],1,1):PaymentSchedule[[#This Row],[INTEREST]]),"")</f>
        <v>12801.089368644973</v>
      </c>
    </row>
    <row r="49" spans="2:11">
      <c r="B49" s="4">
        <f>IF(LoanIsGood,IF(ROW()-ROW(PaymentSchedule[[#Headers],[PMT NO]])&gt;ScheduledNumberOfPayments,"",ROW()-ROW(PaymentSchedule[[#Headers],[PMT NO]])),"")</f>
        <v>30</v>
      </c>
      <c r="C49" s="5">
        <f>IF(PaymentSchedule[[#This Row],[PMT NO]]&lt;&gt;"",EOMONTH(LoanStartDate,ROW(PaymentSchedule[[#This Row],[PMT NO]])-ROW(PaymentSchedule[[#Headers],[PMT NO]])-2)+DAY(LoanStartDate),"")</f>
        <v>44958</v>
      </c>
      <c r="D49" s="7">
        <f>IF(PaymentSchedule[[#This Row],[PMT NO]]&lt;&gt;"",IF(ROW()-ROW(PaymentSchedule[[#Headers],[BEGINNING BALANCE]])=1,LoanAmount,INDEX([ENDING BALANCE],ROW()-ROW(PaymentSchedule[[#Headers],[BEGINNING BALANCE]])-1)),"")</f>
        <v>115168.44058670418</v>
      </c>
      <c r="E49" s="7">
        <f>IF(PaymentSchedule[[#This Row],[PMT NO]]&lt;&gt;"",ScheduledPayment,"")</f>
        <v>608.02237179106271</v>
      </c>
      <c r="F4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4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49" s="7">
        <f>IF(PaymentSchedule[[#This Row],[PMT NO]]&lt;&gt;"",PaymentSchedule[[#This Row],[TOTAL PAYMENT]]-PaymentSchedule[[#This Row],[INTEREST]],"")</f>
        <v>176.14071959092206</v>
      </c>
      <c r="I49" s="7">
        <f>IF(PaymentSchedule[[#This Row],[PMT NO]]&lt;&gt;"",PaymentSchedule[[#This Row],[BEGINNING BALANCE]]*(InterestRate/PaymentsPerYear),"")</f>
        <v>431.88165220014065</v>
      </c>
      <c r="J49" s="7">
        <f>IF(PaymentSchedule[[#This Row],[PMT NO]]&lt;&gt;"",IF(PaymentSchedule[[#This Row],[SCHEDULED PAYMENT]]+PaymentSchedule[[#This Row],[EXTRA PAYMENT]]&lt;=PaymentSchedule[[#This Row],[BEGINNING BALANCE]],PaymentSchedule[[#This Row],[BEGINNING BALANCE]]-PaymentSchedule[[#This Row],[PRINCIPAL]],0),"")</f>
        <v>114992.29986711325</v>
      </c>
      <c r="K49" s="7">
        <f>IF(PaymentSchedule[[#This Row],[PMT NO]]&lt;&gt;"",SUM(INDEX([INTEREST],1,1):PaymentSchedule[[#This Row],[INTEREST]]),"")</f>
        <v>13232.971020845112</v>
      </c>
    </row>
    <row r="50" spans="2:11">
      <c r="B50" s="4">
        <f>IF(LoanIsGood,IF(ROW()-ROW(PaymentSchedule[[#Headers],[PMT NO]])&gt;ScheduledNumberOfPayments,"",ROW()-ROW(PaymentSchedule[[#Headers],[PMT NO]])),"")</f>
        <v>31</v>
      </c>
      <c r="C50" s="5">
        <f>IF(PaymentSchedule[[#This Row],[PMT NO]]&lt;&gt;"",EOMONTH(LoanStartDate,ROW(PaymentSchedule[[#This Row],[PMT NO]])-ROW(PaymentSchedule[[#Headers],[PMT NO]])-2)+DAY(LoanStartDate),"")</f>
        <v>44986</v>
      </c>
      <c r="D50" s="7">
        <f>IF(PaymentSchedule[[#This Row],[PMT NO]]&lt;&gt;"",IF(ROW()-ROW(PaymentSchedule[[#Headers],[BEGINNING BALANCE]])=1,LoanAmount,INDEX([ENDING BALANCE],ROW()-ROW(PaymentSchedule[[#Headers],[BEGINNING BALANCE]])-1)),"")</f>
        <v>114992.29986711325</v>
      </c>
      <c r="E50" s="7">
        <f>IF(PaymentSchedule[[#This Row],[PMT NO]]&lt;&gt;"",ScheduledPayment,"")</f>
        <v>608.02237179106271</v>
      </c>
      <c r="F5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5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50" s="7">
        <f>IF(PaymentSchedule[[#This Row],[PMT NO]]&lt;&gt;"",PaymentSchedule[[#This Row],[TOTAL PAYMENT]]-PaymentSchedule[[#This Row],[INTEREST]],"")</f>
        <v>176.80124728938802</v>
      </c>
      <c r="I50" s="7">
        <f>IF(PaymentSchedule[[#This Row],[PMT NO]]&lt;&gt;"",PaymentSchedule[[#This Row],[BEGINNING BALANCE]]*(InterestRate/PaymentsPerYear),"")</f>
        <v>431.22112450167469</v>
      </c>
      <c r="J50" s="7">
        <f>IF(PaymentSchedule[[#This Row],[PMT NO]]&lt;&gt;"",IF(PaymentSchedule[[#This Row],[SCHEDULED PAYMENT]]+PaymentSchedule[[#This Row],[EXTRA PAYMENT]]&lt;=PaymentSchedule[[#This Row],[BEGINNING BALANCE]],PaymentSchedule[[#This Row],[BEGINNING BALANCE]]-PaymentSchedule[[#This Row],[PRINCIPAL]],0),"")</f>
        <v>114815.49861982386</v>
      </c>
      <c r="K50" s="7">
        <f>IF(PaymentSchedule[[#This Row],[PMT NO]]&lt;&gt;"",SUM(INDEX([INTEREST],1,1):PaymentSchedule[[#This Row],[INTEREST]]),"")</f>
        <v>13664.192145346788</v>
      </c>
    </row>
    <row r="51" spans="2:11">
      <c r="B51" s="4">
        <f>IF(LoanIsGood,IF(ROW()-ROW(PaymentSchedule[[#Headers],[PMT NO]])&gt;ScheduledNumberOfPayments,"",ROW()-ROW(PaymentSchedule[[#Headers],[PMT NO]])),"")</f>
        <v>32</v>
      </c>
      <c r="C51" s="5">
        <f>IF(PaymentSchedule[[#This Row],[PMT NO]]&lt;&gt;"",EOMONTH(LoanStartDate,ROW(PaymentSchedule[[#This Row],[PMT NO]])-ROW(PaymentSchedule[[#Headers],[PMT NO]])-2)+DAY(LoanStartDate),"")</f>
        <v>45017</v>
      </c>
      <c r="D51" s="7">
        <f>IF(PaymentSchedule[[#This Row],[PMT NO]]&lt;&gt;"",IF(ROW()-ROW(PaymentSchedule[[#Headers],[BEGINNING BALANCE]])=1,LoanAmount,INDEX([ENDING BALANCE],ROW()-ROW(PaymentSchedule[[#Headers],[BEGINNING BALANCE]])-1)),"")</f>
        <v>114815.49861982386</v>
      </c>
      <c r="E51" s="7">
        <f>IF(PaymentSchedule[[#This Row],[PMT NO]]&lt;&gt;"",ScheduledPayment,"")</f>
        <v>608.02237179106271</v>
      </c>
      <c r="F5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5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51" s="7">
        <f>IF(PaymentSchedule[[#This Row],[PMT NO]]&lt;&gt;"",PaymentSchedule[[#This Row],[TOTAL PAYMENT]]-PaymentSchedule[[#This Row],[INTEREST]],"")</f>
        <v>177.46425196672322</v>
      </c>
      <c r="I51" s="7">
        <f>IF(PaymentSchedule[[#This Row],[PMT NO]]&lt;&gt;"",PaymentSchedule[[#This Row],[BEGINNING BALANCE]]*(InterestRate/PaymentsPerYear),"")</f>
        <v>430.55811982433949</v>
      </c>
      <c r="J51" s="7">
        <f>IF(PaymentSchedule[[#This Row],[PMT NO]]&lt;&gt;"",IF(PaymentSchedule[[#This Row],[SCHEDULED PAYMENT]]+PaymentSchedule[[#This Row],[EXTRA PAYMENT]]&lt;=PaymentSchedule[[#This Row],[BEGINNING BALANCE]],PaymentSchedule[[#This Row],[BEGINNING BALANCE]]-PaymentSchedule[[#This Row],[PRINCIPAL]],0),"")</f>
        <v>114638.03436785714</v>
      </c>
      <c r="K51" s="7">
        <f>IF(PaymentSchedule[[#This Row],[PMT NO]]&lt;&gt;"",SUM(INDEX([INTEREST],1,1):PaymentSchedule[[#This Row],[INTEREST]]),"")</f>
        <v>14094.750265171127</v>
      </c>
    </row>
    <row r="52" spans="2:11">
      <c r="B52" s="4">
        <f>IF(LoanIsGood,IF(ROW()-ROW(PaymentSchedule[[#Headers],[PMT NO]])&gt;ScheduledNumberOfPayments,"",ROW()-ROW(PaymentSchedule[[#Headers],[PMT NO]])),"")</f>
        <v>33</v>
      </c>
      <c r="C52" s="5">
        <f>IF(PaymentSchedule[[#This Row],[PMT NO]]&lt;&gt;"",EOMONTH(LoanStartDate,ROW(PaymentSchedule[[#This Row],[PMT NO]])-ROW(PaymentSchedule[[#Headers],[PMT NO]])-2)+DAY(LoanStartDate),"")</f>
        <v>45047</v>
      </c>
      <c r="D52" s="7">
        <f>IF(PaymentSchedule[[#This Row],[PMT NO]]&lt;&gt;"",IF(ROW()-ROW(PaymentSchedule[[#Headers],[BEGINNING BALANCE]])=1,LoanAmount,INDEX([ENDING BALANCE],ROW()-ROW(PaymentSchedule[[#Headers],[BEGINNING BALANCE]])-1)),"")</f>
        <v>114638.03436785714</v>
      </c>
      <c r="E52" s="7">
        <f>IF(PaymentSchedule[[#This Row],[PMT NO]]&lt;&gt;"",ScheduledPayment,"")</f>
        <v>608.02237179106271</v>
      </c>
      <c r="F5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5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52" s="7">
        <f>IF(PaymentSchedule[[#This Row],[PMT NO]]&lt;&gt;"",PaymentSchedule[[#This Row],[TOTAL PAYMENT]]-PaymentSchedule[[#This Row],[INTEREST]],"")</f>
        <v>178.12974291159844</v>
      </c>
      <c r="I52" s="7">
        <f>IF(PaymentSchedule[[#This Row],[PMT NO]]&lt;&gt;"",PaymentSchedule[[#This Row],[BEGINNING BALANCE]]*(InterestRate/PaymentsPerYear),"")</f>
        <v>429.89262887946427</v>
      </c>
      <c r="J52" s="7">
        <f>IF(PaymentSchedule[[#This Row],[PMT NO]]&lt;&gt;"",IF(PaymentSchedule[[#This Row],[SCHEDULED PAYMENT]]+PaymentSchedule[[#This Row],[EXTRA PAYMENT]]&lt;=PaymentSchedule[[#This Row],[BEGINNING BALANCE]],PaymentSchedule[[#This Row],[BEGINNING BALANCE]]-PaymentSchedule[[#This Row],[PRINCIPAL]],0),"")</f>
        <v>114459.90462494554</v>
      </c>
      <c r="K52" s="7">
        <f>IF(PaymentSchedule[[#This Row],[PMT NO]]&lt;&gt;"",SUM(INDEX([INTEREST],1,1):PaymentSchedule[[#This Row],[INTEREST]]),"")</f>
        <v>14524.642894050592</v>
      </c>
    </row>
    <row r="53" spans="2:11">
      <c r="B53" s="4">
        <f>IF(LoanIsGood,IF(ROW()-ROW(PaymentSchedule[[#Headers],[PMT NO]])&gt;ScheduledNumberOfPayments,"",ROW()-ROW(PaymentSchedule[[#Headers],[PMT NO]])),"")</f>
        <v>34</v>
      </c>
      <c r="C53" s="5">
        <f>IF(PaymentSchedule[[#This Row],[PMT NO]]&lt;&gt;"",EOMONTH(LoanStartDate,ROW(PaymentSchedule[[#This Row],[PMT NO]])-ROW(PaymentSchedule[[#Headers],[PMT NO]])-2)+DAY(LoanStartDate),"")</f>
        <v>45078</v>
      </c>
      <c r="D53" s="7">
        <f>IF(PaymentSchedule[[#This Row],[PMT NO]]&lt;&gt;"",IF(ROW()-ROW(PaymentSchedule[[#Headers],[BEGINNING BALANCE]])=1,LoanAmount,INDEX([ENDING BALANCE],ROW()-ROW(PaymentSchedule[[#Headers],[BEGINNING BALANCE]])-1)),"")</f>
        <v>114459.90462494554</v>
      </c>
      <c r="E53" s="7">
        <f>IF(PaymentSchedule[[#This Row],[PMT NO]]&lt;&gt;"",ScheduledPayment,"")</f>
        <v>608.02237179106271</v>
      </c>
      <c r="F5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5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53" s="7">
        <f>IF(PaymentSchedule[[#This Row],[PMT NO]]&lt;&gt;"",PaymentSchedule[[#This Row],[TOTAL PAYMENT]]-PaymentSchedule[[#This Row],[INTEREST]],"")</f>
        <v>178.79772944751693</v>
      </c>
      <c r="I53" s="7">
        <f>IF(PaymentSchedule[[#This Row],[PMT NO]]&lt;&gt;"",PaymentSchedule[[#This Row],[BEGINNING BALANCE]]*(InterestRate/PaymentsPerYear),"")</f>
        <v>429.22464234354578</v>
      </c>
      <c r="J53" s="7">
        <f>IF(PaymentSchedule[[#This Row],[PMT NO]]&lt;&gt;"",IF(PaymentSchedule[[#This Row],[SCHEDULED PAYMENT]]+PaymentSchedule[[#This Row],[EXTRA PAYMENT]]&lt;=PaymentSchedule[[#This Row],[BEGINNING BALANCE]],PaymentSchedule[[#This Row],[BEGINNING BALANCE]]-PaymentSchedule[[#This Row],[PRINCIPAL]],0),"")</f>
        <v>114281.10689549803</v>
      </c>
      <c r="K53" s="7">
        <f>IF(PaymentSchedule[[#This Row],[PMT NO]]&lt;&gt;"",SUM(INDEX([INTEREST],1,1):PaymentSchedule[[#This Row],[INTEREST]]),"")</f>
        <v>14953.867536394138</v>
      </c>
    </row>
    <row r="54" spans="2:11">
      <c r="B54" s="4">
        <f>IF(LoanIsGood,IF(ROW()-ROW(PaymentSchedule[[#Headers],[PMT NO]])&gt;ScheduledNumberOfPayments,"",ROW()-ROW(PaymentSchedule[[#Headers],[PMT NO]])),"")</f>
        <v>35</v>
      </c>
      <c r="C54" s="5">
        <f>IF(PaymentSchedule[[#This Row],[PMT NO]]&lt;&gt;"",EOMONTH(LoanStartDate,ROW(PaymentSchedule[[#This Row],[PMT NO]])-ROW(PaymentSchedule[[#Headers],[PMT NO]])-2)+DAY(LoanStartDate),"")</f>
        <v>45108</v>
      </c>
      <c r="D54" s="7">
        <f>IF(PaymentSchedule[[#This Row],[PMT NO]]&lt;&gt;"",IF(ROW()-ROW(PaymentSchedule[[#Headers],[BEGINNING BALANCE]])=1,LoanAmount,INDEX([ENDING BALANCE],ROW()-ROW(PaymentSchedule[[#Headers],[BEGINNING BALANCE]])-1)),"")</f>
        <v>114281.10689549803</v>
      </c>
      <c r="E54" s="7">
        <f>IF(PaymentSchedule[[#This Row],[PMT NO]]&lt;&gt;"",ScheduledPayment,"")</f>
        <v>608.02237179106271</v>
      </c>
      <c r="F5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5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54" s="7">
        <f>IF(PaymentSchedule[[#This Row],[PMT NO]]&lt;&gt;"",PaymentSchedule[[#This Row],[TOTAL PAYMENT]]-PaymentSchedule[[#This Row],[INTEREST]],"")</f>
        <v>179.46822093294514</v>
      </c>
      <c r="I54" s="7">
        <f>IF(PaymentSchedule[[#This Row],[PMT NO]]&lt;&gt;"",PaymentSchedule[[#This Row],[BEGINNING BALANCE]]*(InterestRate/PaymentsPerYear),"")</f>
        <v>428.55415085811757</v>
      </c>
      <c r="J54" s="7">
        <f>IF(PaymentSchedule[[#This Row],[PMT NO]]&lt;&gt;"",IF(PaymentSchedule[[#This Row],[SCHEDULED PAYMENT]]+PaymentSchedule[[#This Row],[EXTRA PAYMENT]]&lt;=PaymentSchedule[[#This Row],[BEGINNING BALANCE]],PaymentSchedule[[#This Row],[BEGINNING BALANCE]]-PaymentSchedule[[#This Row],[PRINCIPAL]],0),"")</f>
        <v>114101.63867456508</v>
      </c>
      <c r="K54" s="7">
        <f>IF(PaymentSchedule[[#This Row],[PMT NO]]&lt;&gt;"",SUM(INDEX([INTEREST],1,1):PaymentSchedule[[#This Row],[INTEREST]]),"")</f>
        <v>15382.421687252256</v>
      </c>
    </row>
    <row r="55" spans="2:11">
      <c r="B55" s="4">
        <f>IF(LoanIsGood,IF(ROW()-ROW(PaymentSchedule[[#Headers],[PMT NO]])&gt;ScheduledNumberOfPayments,"",ROW()-ROW(PaymentSchedule[[#Headers],[PMT NO]])),"")</f>
        <v>36</v>
      </c>
      <c r="C55" s="5">
        <f>IF(PaymentSchedule[[#This Row],[PMT NO]]&lt;&gt;"",EOMONTH(LoanStartDate,ROW(PaymentSchedule[[#This Row],[PMT NO]])-ROW(PaymentSchedule[[#Headers],[PMT NO]])-2)+DAY(LoanStartDate),"")</f>
        <v>45139</v>
      </c>
      <c r="D55" s="7">
        <f>IF(PaymentSchedule[[#This Row],[PMT NO]]&lt;&gt;"",IF(ROW()-ROW(PaymentSchedule[[#Headers],[BEGINNING BALANCE]])=1,LoanAmount,INDEX([ENDING BALANCE],ROW()-ROW(PaymentSchedule[[#Headers],[BEGINNING BALANCE]])-1)),"")</f>
        <v>114101.63867456508</v>
      </c>
      <c r="E55" s="7">
        <f>IF(PaymentSchedule[[#This Row],[PMT NO]]&lt;&gt;"",ScheduledPayment,"")</f>
        <v>608.02237179106271</v>
      </c>
      <c r="F5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5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55" s="7">
        <f>IF(PaymentSchedule[[#This Row],[PMT NO]]&lt;&gt;"",PaymentSchedule[[#This Row],[TOTAL PAYMENT]]-PaymentSchedule[[#This Row],[INTEREST]],"")</f>
        <v>180.14122676144365</v>
      </c>
      <c r="I55" s="7">
        <f>IF(PaymentSchedule[[#This Row],[PMT NO]]&lt;&gt;"",PaymentSchedule[[#This Row],[BEGINNING BALANCE]]*(InterestRate/PaymentsPerYear),"")</f>
        <v>427.88114502961906</v>
      </c>
      <c r="J55" s="7">
        <f>IF(PaymentSchedule[[#This Row],[PMT NO]]&lt;&gt;"",IF(PaymentSchedule[[#This Row],[SCHEDULED PAYMENT]]+PaymentSchedule[[#This Row],[EXTRA PAYMENT]]&lt;=PaymentSchedule[[#This Row],[BEGINNING BALANCE]],PaymentSchedule[[#This Row],[BEGINNING BALANCE]]-PaymentSchedule[[#This Row],[PRINCIPAL]],0),"")</f>
        <v>113921.49744780363</v>
      </c>
      <c r="K55" s="7">
        <f>IF(PaymentSchedule[[#This Row],[PMT NO]]&lt;&gt;"",SUM(INDEX([INTEREST],1,1):PaymentSchedule[[#This Row],[INTEREST]]),"")</f>
        <v>15810.302832281875</v>
      </c>
    </row>
    <row r="56" spans="2:11">
      <c r="B56" s="4">
        <f>IF(LoanIsGood,IF(ROW()-ROW(PaymentSchedule[[#Headers],[PMT NO]])&gt;ScheduledNumberOfPayments,"",ROW()-ROW(PaymentSchedule[[#Headers],[PMT NO]])),"")</f>
        <v>37</v>
      </c>
      <c r="C56" s="5">
        <f>IF(PaymentSchedule[[#This Row],[PMT NO]]&lt;&gt;"",EOMONTH(LoanStartDate,ROW(PaymentSchedule[[#This Row],[PMT NO]])-ROW(PaymentSchedule[[#Headers],[PMT NO]])-2)+DAY(LoanStartDate),"")</f>
        <v>45170</v>
      </c>
      <c r="D56" s="7">
        <f>IF(PaymentSchedule[[#This Row],[PMT NO]]&lt;&gt;"",IF(ROW()-ROW(PaymentSchedule[[#Headers],[BEGINNING BALANCE]])=1,LoanAmount,INDEX([ENDING BALANCE],ROW()-ROW(PaymentSchedule[[#Headers],[BEGINNING BALANCE]])-1)),"")</f>
        <v>113921.49744780363</v>
      </c>
      <c r="E56" s="7">
        <f>IF(PaymentSchedule[[#This Row],[PMT NO]]&lt;&gt;"",ScheduledPayment,"")</f>
        <v>608.02237179106271</v>
      </c>
      <c r="F5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5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56" s="7">
        <f>IF(PaymentSchedule[[#This Row],[PMT NO]]&lt;&gt;"",PaymentSchedule[[#This Row],[TOTAL PAYMENT]]-PaymentSchedule[[#This Row],[INTEREST]],"")</f>
        <v>180.81675636179909</v>
      </c>
      <c r="I56" s="7">
        <f>IF(PaymentSchedule[[#This Row],[PMT NO]]&lt;&gt;"",PaymentSchedule[[#This Row],[BEGINNING BALANCE]]*(InterestRate/PaymentsPerYear),"")</f>
        <v>427.20561542926362</v>
      </c>
      <c r="J56" s="7">
        <f>IF(PaymentSchedule[[#This Row],[PMT NO]]&lt;&gt;"",IF(PaymentSchedule[[#This Row],[SCHEDULED PAYMENT]]+PaymentSchedule[[#This Row],[EXTRA PAYMENT]]&lt;=PaymentSchedule[[#This Row],[BEGINNING BALANCE]],PaymentSchedule[[#This Row],[BEGINNING BALANCE]]-PaymentSchedule[[#This Row],[PRINCIPAL]],0),"")</f>
        <v>113740.68069144183</v>
      </c>
      <c r="K56" s="7">
        <f>IF(PaymentSchedule[[#This Row],[PMT NO]]&lt;&gt;"",SUM(INDEX([INTEREST],1,1):PaymentSchedule[[#This Row],[INTEREST]]),"")</f>
        <v>16237.50844771114</v>
      </c>
    </row>
    <row r="57" spans="2:11">
      <c r="B57" s="4">
        <f>IF(LoanIsGood,IF(ROW()-ROW(PaymentSchedule[[#Headers],[PMT NO]])&gt;ScheduledNumberOfPayments,"",ROW()-ROW(PaymentSchedule[[#Headers],[PMT NO]])),"")</f>
        <v>38</v>
      </c>
      <c r="C57" s="5">
        <f>IF(PaymentSchedule[[#This Row],[PMT NO]]&lt;&gt;"",EOMONTH(LoanStartDate,ROW(PaymentSchedule[[#This Row],[PMT NO]])-ROW(PaymentSchedule[[#Headers],[PMT NO]])-2)+DAY(LoanStartDate),"")</f>
        <v>45200</v>
      </c>
      <c r="D57" s="7">
        <f>IF(PaymentSchedule[[#This Row],[PMT NO]]&lt;&gt;"",IF(ROW()-ROW(PaymentSchedule[[#Headers],[BEGINNING BALANCE]])=1,LoanAmount,INDEX([ENDING BALANCE],ROW()-ROW(PaymentSchedule[[#Headers],[BEGINNING BALANCE]])-1)),"")</f>
        <v>113740.68069144183</v>
      </c>
      <c r="E57" s="7">
        <f>IF(PaymentSchedule[[#This Row],[PMT NO]]&lt;&gt;"",ScheduledPayment,"")</f>
        <v>608.02237179106271</v>
      </c>
      <c r="F5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5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57" s="7">
        <f>IF(PaymentSchedule[[#This Row],[PMT NO]]&lt;&gt;"",PaymentSchedule[[#This Row],[TOTAL PAYMENT]]-PaymentSchedule[[#This Row],[INTEREST]],"")</f>
        <v>181.49481919815588</v>
      </c>
      <c r="I57" s="7">
        <f>IF(PaymentSchedule[[#This Row],[PMT NO]]&lt;&gt;"",PaymentSchedule[[#This Row],[BEGINNING BALANCE]]*(InterestRate/PaymentsPerYear),"")</f>
        <v>426.52755259290683</v>
      </c>
      <c r="J57" s="7">
        <f>IF(PaymentSchedule[[#This Row],[PMT NO]]&lt;&gt;"",IF(PaymentSchedule[[#This Row],[SCHEDULED PAYMENT]]+PaymentSchedule[[#This Row],[EXTRA PAYMENT]]&lt;=PaymentSchedule[[#This Row],[BEGINNING BALANCE]],PaymentSchedule[[#This Row],[BEGINNING BALANCE]]-PaymentSchedule[[#This Row],[PRINCIPAL]],0),"")</f>
        <v>113559.18587224367</v>
      </c>
      <c r="K57" s="7">
        <f>IF(PaymentSchedule[[#This Row],[PMT NO]]&lt;&gt;"",SUM(INDEX([INTEREST],1,1):PaymentSchedule[[#This Row],[INTEREST]]),"")</f>
        <v>16664.036000304048</v>
      </c>
    </row>
    <row r="58" spans="2:11">
      <c r="B58" s="4">
        <f>IF(LoanIsGood,IF(ROW()-ROW(PaymentSchedule[[#Headers],[PMT NO]])&gt;ScheduledNumberOfPayments,"",ROW()-ROW(PaymentSchedule[[#Headers],[PMT NO]])),"")</f>
        <v>39</v>
      </c>
      <c r="C58" s="5">
        <f>IF(PaymentSchedule[[#This Row],[PMT NO]]&lt;&gt;"",EOMONTH(LoanStartDate,ROW(PaymentSchedule[[#This Row],[PMT NO]])-ROW(PaymentSchedule[[#Headers],[PMT NO]])-2)+DAY(LoanStartDate),"")</f>
        <v>45231</v>
      </c>
      <c r="D58" s="7">
        <f>IF(PaymentSchedule[[#This Row],[PMT NO]]&lt;&gt;"",IF(ROW()-ROW(PaymentSchedule[[#Headers],[BEGINNING BALANCE]])=1,LoanAmount,INDEX([ENDING BALANCE],ROW()-ROW(PaymentSchedule[[#Headers],[BEGINNING BALANCE]])-1)),"")</f>
        <v>113559.18587224367</v>
      </c>
      <c r="E58" s="7">
        <f>IF(PaymentSchedule[[#This Row],[PMT NO]]&lt;&gt;"",ScheduledPayment,"")</f>
        <v>608.02237179106271</v>
      </c>
      <c r="F5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5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58" s="7">
        <f>IF(PaymentSchedule[[#This Row],[PMT NO]]&lt;&gt;"",PaymentSchedule[[#This Row],[TOTAL PAYMENT]]-PaymentSchedule[[#This Row],[INTEREST]],"")</f>
        <v>182.17542477014894</v>
      </c>
      <c r="I58" s="7">
        <f>IF(PaymentSchedule[[#This Row],[PMT NO]]&lt;&gt;"",PaymentSchedule[[#This Row],[BEGINNING BALANCE]]*(InterestRate/PaymentsPerYear),"")</f>
        <v>425.84694702091377</v>
      </c>
      <c r="J58" s="7">
        <f>IF(PaymentSchedule[[#This Row],[PMT NO]]&lt;&gt;"",IF(PaymentSchedule[[#This Row],[SCHEDULED PAYMENT]]+PaymentSchedule[[#This Row],[EXTRA PAYMENT]]&lt;=PaymentSchedule[[#This Row],[BEGINNING BALANCE]],PaymentSchedule[[#This Row],[BEGINNING BALANCE]]-PaymentSchedule[[#This Row],[PRINCIPAL]],0),"")</f>
        <v>113377.01044747353</v>
      </c>
      <c r="K58" s="7">
        <f>IF(PaymentSchedule[[#This Row],[PMT NO]]&lt;&gt;"",SUM(INDEX([INTEREST],1,1):PaymentSchedule[[#This Row],[INTEREST]]),"")</f>
        <v>17089.882947324961</v>
      </c>
    </row>
    <row r="59" spans="2:11">
      <c r="B59" s="4">
        <f>IF(LoanIsGood,IF(ROW()-ROW(PaymentSchedule[[#Headers],[PMT NO]])&gt;ScheduledNumberOfPayments,"",ROW()-ROW(PaymentSchedule[[#Headers],[PMT NO]])),"")</f>
        <v>40</v>
      </c>
      <c r="C59" s="5">
        <f>IF(PaymentSchedule[[#This Row],[PMT NO]]&lt;&gt;"",EOMONTH(LoanStartDate,ROW(PaymentSchedule[[#This Row],[PMT NO]])-ROW(PaymentSchedule[[#Headers],[PMT NO]])-2)+DAY(LoanStartDate),"")</f>
        <v>45261</v>
      </c>
      <c r="D59" s="7">
        <f>IF(PaymentSchedule[[#This Row],[PMT NO]]&lt;&gt;"",IF(ROW()-ROW(PaymentSchedule[[#Headers],[BEGINNING BALANCE]])=1,LoanAmount,INDEX([ENDING BALANCE],ROW()-ROW(PaymentSchedule[[#Headers],[BEGINNING BALANCE]])-1)),"")</f>
        <v>113377.01044747353</v>
      </c>
      <c r="E59" s="7">
        <f>IF(PaymentSchedule[[#This Row],[PMT NO]]&lt;&gt;"",ScheduledPayment,"")</f>
        <v>608.02237179106271</v>
      </c>
      <c r="F5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5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59" s="7">
        <f>IF(PaymentSchedule[[#This Row],[PMT NO]]&lt;&gt;"",PaymentSchedule[[#This Row],[TOTAL PAYMENT]]-PaymentSchedule[[#This Row],[INTEREST]],"")</f>
        <v>182.85858261303702</v>
      </c>
      <c r="I59" s="7">
        <f>IF(PaymentSchedule[[#This Row],[PMT NO]]&lt;&gt;"",PaymentSchedule[[#This Row],[BEGINNING BALANCE]]*(InterestRate/PaymentsPerYear),"")</f>
        <v>425.1637891780257</v>
      </c>
      <c r="J59" s="7">
        <f>IF(PaymentSchedule[[#This Row],[PMT NO]]&lt;&gt;"",IF(PaymentSchedule[[#This Row],[SCHEDULED PAYMENT]]+PaymentSchedule[[#This Row],[EXTRA PAYMENT]]&lt;=PaymentSchedule[[#This Row],[BEGINNING BALANCE]],PaymentSchedule[[#This Row],[BEGINNING BALANCE]]-PaymentSchedule[[#This Row],[PRINCIPAL]],0),"")</f>
        <v>113194.15186486048</v>
      </c>
      <c r="K59" s="7">
        <f>IF(PaymentSchedule[[#This Row],[PMT NO]]&lt;&gt;"",SUM(INDEX([INTEREST],1,1):PaymentSchedule[[#This Row],[INTEREST]]),"")</f>
        <v>17515.046736502987</v>
      </c>
    </row>
    <row r="60" spans="2:11">
      <c r="B60" s="4">
        <f>IF(LoanIsGood,IF(ROW()-ROW(PaymentSchedule[[#Headers],[PMT NO]])&gt;ScheduledNumberOfPayments,"",ROW()-ROW(PaymentSchedule[[#Headers],[PMT NO]])),"")</f>
        <v>41</v>
      </c>
      <c r="C60" s="5">
        <f>IF(PaymentSchedule[[#This Row],[PMT NO]]&lt;&gt;"",EOMONTH(LoanStartDate,ROW(PaymentSchedule[[#This Row],[PMT NO]])-ROW(PaymentSchedule[[#Headers],[PMT NO]])-2)+DAY(LoanStartDate),"")</f>
        <v>45292</v>
      </c>
      <c r="D60" s="7">
        <f>IF(PaymentSchedule[[#This Row],[PMT NO]]&lt;&gt;"",IF(ROW()-ROW(PaymentSchedule[[#Headers],[BEGINNING BALANCE]])=1,LoanAmount,INDEX([ENDING BALANCE],ROW()-ROW(PaymentSchedule[[#Headers],[BEGINNING BALANCE]])-1)),"")</f>
        <v>113194.15186486048</v>
      </c>
      <c r="E60" s="7">
        <f>IF(PaymentSchedule[[#This Row],[PMT NO]]&lt;&gt;"",ScheduledPayment,"")</f>
        <v>608.02237179106271</v>
      </c>
      <c r="F6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6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60" s="7">
        <f>IF(PaymentSchedule[[#This Row],[PMT NO]]&lt;&gt;"",PaymentSchedule[[#This Row],[TOTAL PAYMENT]]-PaymentSchedule[[#This Row],[INTEREST]],"")</f>
        <v>183.54430229783594</v>
      </c>
      <c r="I60" s="7">
        <f>IF(PaymentSchedule[[#This Row],[PMT NO]]&lt;&gt;"",PaymentSchedule[[#This Row],[BEGINNING BALANCE]]*(InterestRate/PaymentsPerYear),"")</f>
        <v>424.47806949322677</v>
      </c>
      <c r="J60" s="7">
        <f>IF(PaymentSchedule[[#This Row],[PMT NO]]&lt;&gt;"",IF(PaymentSchedule[[#This Row],[SCHEDULED PAYMENT]]+PaymentSchedule[[#This Row],[EXTRA PAYMENT]]&lt;=PaymentSchedule[[#This Row],[BEGINNING BALANCE]],PaymentSchedule[[#This Row],[BEGINNING BALANCE]]-PaymentSchedule[[#This Row],[PRINCIPAL]],0),"")</f>
        <v>113010.60756256265</v>
      </c>
      <c r="K60" s="7">
        <f>IF(PaymentSchedule[[#This Row],[PMT NO]]&lt;&gt;"",SUM(INDEX([INTEREST],1,1):PaymentSchedule[[#This Row],[INTEREST]]),"")</f>
        <v>17939.524805996214</v>
      </c>
    </row>
    <row r="61" spans="2:11">
      <c r="B61" s="4">
        <f>IF(LoanIsGood,IF(ROW()-ROW(PaymentSchedule[[#Headers],[PMT NO]])&gt;ScheduledNumberOfPayments,"",ROW()-ROW(PaymentSchedule[[#Headers],[PMT NO]])),"")</f>
        <v>42</v>
      </c>
      <c r="C61" s="5">
        <f>IF(PaymentSchedule[[#This Row],[PMT NO]]&lt;&gt;"",EOMONTH(LoanStartDate,ROW(PaymentSchedule[[#This Row],[PMT NO]])-ROW(PaymentSchedule[[#Headers],[PMT NO]])-2)+DAY(LoanStartDate),"")</f>
        <v>45323</v>
      </c>
      <c r="D61" s="7">
        <f>IF(PaymentSchedule[[#This Row],[PMT NO]]&lt;&gt;"",IF(ROW()-ROW(PaymentSchedule[[#Headers],[BEGINNING BALANCE]])=1,LoanAmount,INDEX([ENDING BALANCE],ROW()-ROW(PaymentSchedule[[#Headers],[BEGINNING BALANCE]])-1)),"")</f>
        <v>113010.60756256265</v>
      </c>
      <c r="E61" s="7">
        <f>IF(PaymentSchedule[[#This Row],[PMT NO]]&lt;&gt;"",ScheduledPayment,"")</f>
        <v>608.02237179106271</v>
      </c>
      <c r="F6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6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61" s="7">
        <f>IF(PaymentSchedule[[#This Row],[PMT NO]]&lt;&gt;"",PaymentSchedule[[#This Row],[TOTAL PAYMENT]]-PaymentSchedule[[#This Row],[INTEREST]],"")</f>
        <v>184.23259343145276</v>
      </c>
      <c r="I61" s="7">
        <f>IF(PaymentSchedule[[#This Row],[PMT NO]]&lt;&gt;"",PaymentSchedule[[#This Row],[BEGINNING BALANCE]]*(InterestRate/PaymentsPerYear),"")</f>
        <v>423.78977835960995</v>
      </c>
      <c r="J61" s="7">
        <f>IF(PaymentSchedule[[#This Row],[PMT NO]]&lt;&gt;"",IF(PaymentSchedule[[#This Row],[SCHEDULED PAYMENT]]+PaymentSchedule[[#This Row],[EXTRA PAYMENT]]&lt;=PaymentSchedule[[#This Row],[BEGINNING BALANCE]],PaymentSchedule[[#This Row],[BEGINNING BALANCE]]-PaymentSchedule[[#This Row],[PRINCIPAL]],0),"")</f>
        <v>112826.3749691312</v>
      </c>
      <c r="K61" s="7">
        <f>IF(PaymentSchedule[[#This Row],[PMT NO]]&lt;&gt;"",SUM(INDEX([INTEREST],1,1):PaymentSchedule[[#This Row],[INTEREST]]),"")</f>
        <v>18363.314584355823</v>
      </c>
    </row>
    <row r="62" spans="2:11">
      <c r="B62" s="4">
        <f>IF(LoanIsGood,IF(ROW()-ROW(PaymentSchedule[[#Headers],[PMT NO]])&gt;ScheduledNumberOfPayments,"",ROW()-ROW(PaymentSchedule[[#Headers],[PMT NO]])),"")</f>
        <v>43</v>
      </c>
      <c r="C62" s="5">
        <f>IF(PaymentSchedule[[#This Row],[PMT NO]]&lt;&gt;"",EOMONTH(LoanStartDate,ROW(PaymentSchedule[[#This Row],[PMT NO]])-ROW(PaymentSchedule[[#Headers],[PMT NO]])-2)+DAY(LoanStartDate),"")</f>
        <v>45352</v>
      </c>
      <c r="D62" s="7">
        <f>IF(PaymentSchedule[[#This Row],[PMT NO]]&lt;&gt;"",IF(ROW()-ROW(PaymentSchedule[[#Headers],[BEGINNING BALANCE]])=1,LoanAmount,INDEX([ENDING BALANCE],ROW()-ROW(PaymentSchedule[[#Headers],[BEGINNING BALANCE]])-1)),"")</f>
        <v>112826.3749691312</v>
      </c>
      <c r="E62" s="7">
        <f>IF(PaymentSchedule[[#This Row],[PMT NO]]&lt;&gt;"",ScheduledPayment,"")</f>
        <v>608.02237179106271</v>
      </c>
      <c r="F6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6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62" s="7">
        <f>IF(PaymentSchedule[[#This Row],[PMT NO]]&lt;&gt;"",PaymentSchedule[[#This Row],[TOTAL PAYMENT]]-PaymentSchedule[[#This Row],[INTEREST]],"")</f>
        <v>184.92346565682072</v>
      </c>
      <c r="I62" s="7">
        <f>IF(PaymentSchedule[[#This Row],[PMT NO]]&lt;&gt;"",PaymentSchedule[[#This Row],[BEGINNING BALANCE]]*(InterestRate/PaymentsPerYear),"")</f>
        <v>423.09890613424199</v>
      </c>
      <c r="J62" s="7">
        <f>IF(PaymentSchedule[[#This Row],[PMT NO]]&lt;&gt;"",IF(PaymentSchedule[[#This Row],[SCHEDULED PAYMENT]]+PaymentSchedule[[#This Row],[EXTRA PAYMENT]]&lt;=PaymentSchedule[[#This Row],[BEGINNING BALANCE]],PaymentSchedule[[#This Row],[BEGINNING BALANCE]]-PaymentSchedule[[#This Row],[PRINCIPAL]],0),"")</f>
        <v>112641.45150347438</v>
      </c>
      <c r="K62" s="7">
        <f>IF(PaymentSchedule[[#This Row],[PMT NO]]&lt;&gt;"",SUM(INDEX([INTEREST],1,1):PaymentSchedule[[#This Row],[INTEREST]]),"")</f>
        <v>18786.413490490064</v>
      </c>
    </row>
    <row r="63" spans="2:11">
      <c r="B63" s="4">
        <f>IF(LoanIsGood,IF(ROW()-ROW(PaymentSchedule[[#Headers],[PMT NO]])&gt;ScheduledNumberOfPayments,"",ROW()-ROW(PaymentSchedule[[#Headers],[PMT NO]])),"")</f>
        <v>44</v>
      </c>
      <c r="C63" s="5">
        <f>IF(PaymentSchedule[[#This Row],[PMT NO]]&lt;&gt;"",EOMONTH(LoanStartDate,ROW(PaymentSchedule[[#This Row],[PMT NO]])-ROW(PaymentSchedule[[#Headers],[PMT NO]])-2)+DAY(LoanStartDate),"")</f>
        <v>45383</v>
      </c>
      <c r="D63" s="7">
        <f>IF(PaymentSchedule[[#This Row],[PMT NO]]&lt;&gt;"",IF(ROW()-ROW(PaymentSchedule[[#Headers],[BEGINNING BALANCE]])=1,LoanAmount,INDEX([ENDING BALANCE],ROW()-ROW(PaymentSchedule[[#Headers],[BEGINNING BALANCE]])-1)),"")</f>
        <v>112641.45150347438</v>
      </c>
      <c r="E63" s="7">
        <f>IF(PaymentSchedule[[#This Row],[PMT NO]]&lt;&gt;"",ScheduledPayment,"")</f>
        <v>608.02237179106271</v>
      </c>
      <c r="F6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6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63" s="7">
        <f>IF(PaymentSchedule[[#This Row],[PMT NO]]&lt;&gt;"",PaymentSchedule[[#This Row],[TOTAL PAYMENT]]-PaymentSchedule[[#This Row],[INTEREST]],"")</f>
        <v>185.61692865303377</v>
      </c>
      <c r="I63" s="7">
        <f>IF(PaymentSchedule[[#This Row],[PMT NO]]&lt;&gt;"",PaymentSchedule[[#This Row],[BEGINNING BALANCE]]*(InterestRate/PaymentsPerYear),"")</f>
        <v>422.40544313802894</v>
      </c>
      <c r="J63" s="7">
        <f>IF(PaymentSchedule[[#This Row],[PMT NO]]&lt;&gt;"",IF(PaymentSchedule[[#This Row],[SCHEDULED PAYMENT]]+PaymentSchedule[[#This Row],[EXTRA PAYMENT]]&lt;=PaymentSchedule[[#This Row],[BEGINNING BALANCE]],PaymentSchedule[[#This Row],[BEGINNING BALANCE]]-PaymentSchedule[[#This Row],[PRINCIPAL]],0),"")</f>
        <v>112455.83457482135</v>
      </c>
      <c r="K63" s="7">
        <f>IF(PaymentSchedule[[#This Row],[PMT NO]]&lt;&gt;"",SUM(INDEX([INTEREST],1,1):PaymentSchedule[[#This Row],[INTEREST]]),"")</f>
        <v>19208.818933628092</v>
      </c>
    </row>
    <row r="64" spans="2:11">
      <c r="B64" s="4">
        <f>IF(LoanIsGood,IF(ROW()-ROW(PaymentSchedule[[#Headers],[PMT NO]])&gt;ScheduledNumberOfPayments,"",ROW()-ROW(PaymentSchedule[[#Headers],[PMT NO]])),"")</f>
        <v>45</v>
      </c>
      <c r="C64" s="5">
        <f>IF(PaymentSchedule[[#This Row],[PMT NO]]&lt;&gt;"",EOMONTH(LoanStartDate,ROW(PaymentSchedule[[#This Row],[PMT NO]])-ROW(PaymentSchedule[[#Headers],[PMT NO]])-2)+DAY(LoanStartDate),"")</f>
        <v>45413</v>
      </c>
      <c r="D64" s="7">
        <f>IF(PaymentSchedule[[#This Row],[PMT NO]]&lt;&gt;"",IF(ROW()-ROW(PaymentSchedule[[#Headers],[BEGINNING BALANCE]])=1,LoanAmount,INDEX([ENDING BALANCE],ROW()-ROW(PaymentSchedule[[#Headers],[BEGINNING BALANCE]])-1)),"")</f>
        <v>112455.83457482135</v>
      </c>
      <c r="E64" s="7">
        <f>IF(PaymentSchedule[[#This Row],[PMT NO]]&lt;&gt;"",ScheduledPayment,"")</f>
        <v>608.02237179106271</v>
      </c>
      <c r="F6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6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64" s="7">
        <f>IF(PaymentSchedule[[#This Row],[PMT NO]]&lt;&gt;"",PaymentSchedule[[#This Row],[TOTAL PAYMENT]]-PaymentSchedule[[#This Row],[INTEREST]],"")</f>
        <v>186.31299213548266</v>
      </c>
      <c r="I64" s="7">
        <f>IF(PaymentSchedule[[#This Row],[PMT NO]]&lt;&gt;"",PaymentSchedule[[#This Row],[BEGINNING BALANCE]]*(InterestRate/PaymentsPerYear),"")</f>
        <v>421.70937965558005</v>
      </c>
      <c r="J64" s="7">
        <f>IF(PaymentSchedule[[#This Row],[PMT NO]]&lt;&gt;"",IF(PaymentSchedule[[#This Row],[SCHEDULED PAYMENT]]+PaymentSchedule[[#This Row],[EXTRA PAYMENT]]&lt;=PaymentSchedule[[#This Row],[BEGINNING BALANCE]],PaymentSchedule[[#This Row],[BEGINNING BALANCE]]-PaymentSchedule[[#This Row],[PRINCIPAL]],0),"")</f>
        <v>112269.52158268586</v>
      </c>
      <c r="K64" s="7">
        <f>IF(PaymentSchedule[[#This Row],[PMT NO]]&lt;&gt;"",SUM(INDEX([INTEREST],1,1):PaymentSchedule[[#This Row],[INTEREST]]),"")</f>
        <v>19630.52831328367</v>
      </c>
    </row>
    <row r="65" spans="2:11">
      <c r="B65" s="4">
        <f>IF(LoanIsGood,IF(ROW()-ROW(PaymentSchedule[[#Headers],[PMT NO]])&gt;ScheduledNumberOfPayments,"",ROW()-ROW(PaymentSchedule[[#Headers],[PMT NO]])),"")</f>
        <v>46</v>
      </c>
      <c r="C65" s="5">
        <f>IF(PaymentSchedule[[#This Row],[PMT NO]]&lt;&gt;"",EOMONTH(LoanStartDate,ROW(PaymentSchedule[[#This Row],[PMT NO]])-ROW(PaymentSchedule[[#Headers],[PMT NO]])-2)+DAY(LoanStartDate),"")</f>
        <v>45444</v>
      </c>
      <c r="D65" s="7">
        <f>IF(PaymentSchedule[[#This Row],[PMT NO]]&lt;&gt;"",IF(ROW()-ROW(PaymentSchedule[[#Headers],[BEGINNING BALANCE]])=1,LoanAmount,INDEX([ENDING BALANCE],ROW()-ROW(PaymentSchedule[[#Headers],[BEGINNING BALANCE]])-1)),"")</f>
        <v>112269.52158268586</v>
      </c>
      <c r="E65" s="7">
        <f>IF(PaymentSchedule[[#This Row],[PMT NO]]&lt;&gt;"",ScheduledPayment,"")</f>
        <v>608.02237179106271</v>
      </c>
      <c r="F6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6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65" s="7">
        <f>IF(PaymentSchedule[[#This Row],[PMT NO]]&lt;&gt;"",PaymentSchedule[[#This Row],[TOTAL PAYMENT]]-PaymentSchedule[[#This Row],[INTEREST]],"")</f>
        <v>187.01166585599077</v>
      </c>
      <c r="I65" s="7">
        <f>IF(PaymentSchedule[[#This Row],[PMT NO]]&lt;&gt;"",PaymentSchedule[[#This Row],[BEGINNING BALANCE]]*(InterestRate/PaymentsPerYear),"")</f>
        <v>421.01070593507194</v>
      </c>
      <c r="J65" s="7">
        <f>IF(PaymentSchedule[[#This Row],[PMT NO]]&lt;&gt;"",IF(PaymentSchedule[[#This Row],[SCHEDULED PAYMENT]]+PaymentSchedule[[#This Row],[EXTRA PAYMENT]]&lt;=PaymentSchedule[[#This Row],[BEGINNING BALANCE]],PaymentSchedule[[#This Row],[BEGINNING BALANCE]]-PaymentSchedule[[#This Row],[PRINCIPAL]],0),"")</f>
        <v>112082.50991682988</v>
      </c>
      <c r="K65" s="7">
        <f>IF(PaymentSchedule[[#This Row],[PMT NO]]&lt;&gt;"",SUM(INDEX([INTEREST],1,1):PaymentSchedule[[#This Row],[INTEREST]]),"")</f>
        <v>20051.539019218741</v>
      </c>
    </row>
    <row r="66" spans="2:11">
      <c r="B66" s="4">
        <f>IF(LoanIsGood,IF(ROW()-ROW(PaymentSchedule[[#Headers],[PMT NO]])&gt;ScheduledNumberOfPayments,"",ROW()-ROW(PaymentSchedule[[#Headers],[PMT NO]])),"")</f>
        <v>47</v>
      </c>
      <c r="C66" s="5">
        <f>IF(PaymentSchedule[[#This Row],[PMT NO]]&lt;&gt;"",EOMONTH(LoanStartDate,ROW(PaymentSchedule[[#This Row],[PMT NO]])-ROW(PaymentSchedule[[#Headers],[PMT NO]])-2)+DAY(LoanStartDate),"")</f>
        <v>45474</v>
      </c>
      <c r="D66" s="7">
        <f>IF(PaymentSchedule[[#This Row],[PMT NO]]&lt;&gt;"",IF(ROW()-ROW(PaymentSchedule[[#Headers],[BEGINNING BALANCE]])=1,LoanAmount,INDEX([ENDING BALANCE],ROW()-ROW(PaymentSchedule[[#Headers],[BEGINNING BALANCE]])-1)),"")</f>
        <v>112082.50991682988</v>
      </c>
      <c r="E66" s="7">
        <f>IF(PaymentSchedule[[#This Row],[PMT NO]]&lt;&gt;"",ScheduledPayment,"")</f>
        <v>608.02237179106271</v>
      </c>
      <c r="F6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6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66" s="7">
        <f>IF(PaymentSchedule[[#This Row],[PMT NO]]&lt;&gt;"",PaymentSchedule[[#This Row],[TOTAL PAYMENT]]-PaymentSchedule[[#This Row],[INTEREST]],"")</f>
        <v>187.71295960295066</v>
      </c>
      <c r="I66" s="7">
        <f>IF(PaymentSchedule[[#This Row],[PMT NO]]&lt;&gt;"",PaymentSchedule[[#This Row],[BEGINNING BALANCE]]*(InterestRate/PaymentsPerYear),"")</f>
        <v>420.30941218811205</v>
      </c>
      <c r="J66" s="7">
        <f>IF(PaymentSchedule[[#This Row],[PMT NO]]&lt;&gt;"",IF(PaymentSchedule[[#This Row],[SCHEDULED PAYMENT]]+PaymentSchedule[[#This Row],[EXTRA PAYMENT]]&lt;=PaymentSchedule[[#This Row],[BEGINNING BALANCE]],PaymentSchedule[[#This Row],[BEGINNING BALANCE]]-PaymentSchedule[[#This Row],[PRINCIPAL]],0),"")</f>
        <v>111894.79695722692</v>
      </c>
      <c r="K66" s="7">
        <f>IF(PaymentSchedule[[#This Row],[PMT NO]]&lt;&gt;"",SUM(INDEX([INTEREST],1,1):PaymentSchedule[[#This Row],[INTEREST]]),"")</f>
        <v>20471.848431406852</v>
      </c>
    </row>
    <row r="67" spans="2:11">
      <c r="B67" s="4">
        <f>IF(LoanIsGood,IF(ROW()-ROW(PaymentSchedule[[#Headers],[PMT NO]])&gt;ScheduledNumberOfPayments,"",ROW()-ROW(PaymentSchedule[[#Headers],[PMT NO]])),"")</f>
        <v>48</v>
      </c>
      <c r="C67" s="5">
        <f>IF(PaymentSchedule[[#This Row],[PMT NO]]&lt;&gt;"",EOMONTH(LoanStartDate,ROW(PaymentSchedule[[#This Row],[PMT NO]])-ROW(PaymentSchedule[[#Headers],[PMT NO]])-2)+DAY(LoanStartDate),"")</f>
        <v>45505</v>
      </c>
      <c r="D67" s="7">
        <f>IF(PaymentSchedule[[#This Row],[PMT NO]]&lt;&gt;"",IF(ROW()-ROW(PaymentSchedule[[#Headers],[BEGINNING BALANCE]])=1,LoanAmount,INDEX([ENDING BALANCE],ROW()-ROW(PaymentSchedule[[#Headers],[BEGINNING BALANCE]])-1)),"")</f>
        <v>111894.79695722692</v>
      </c>
      <c r="E67" s="7">
        <f>IF(PaymentSchedule[[#This Row],[PMT NO]]&lt;&gt;"",ScheduledPayment,"")</f>
        <v>608.02237179106271</v>
      </c>
      <c r="F6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6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67" s="7">
        <f>IF(PaymentSchedule[[#This Row],[PMT NO]]&lt;&gt;"",PaymentSchedule[[#This Row],[TOTAL PAYMENT]]-PaymentSchedule[[#This Row],[INTEREST]],"")</f>
        <v>188.41688320146176</v>
      </c>
      <c r="I67" s="7">
        <f>IF(PaymentSchedule[[#This Row],[PMT NO]]&lt;&gt;"",PaymentSchedule[[#This Row],[BEGINNING BALANCE]]*(InterestRate/PaymentsPerYear),"")</f>
        <v>419.60548858960095</v>
      </c>
      <c r="J67" s="7">
        <f>IF(PaymentSchedule[[#This Row],[PMT NO]]&lt;&gt;"",IF(PaymentSchedule[[#This Row],[SCHEDULED PAYMENT]]+PaymentSchedule[[#This Row],[EXTRA PAYMENT]]&lt;=PaymentSchedule[[#This Row],[BEGINNING BALANCE]],PaymentSchedule[[#This Row],[BEGINNING BALANCE]]-PaymentSchedule[[#This Row],[PRINCIPAL]],0),"")</f>
        <v>111706.38007402547</v>
      </c>
      <c r="K67" s="7">
        <f>IF(PaymentSchedule[[#This Row],[PMT NO]]&lt;&gt;"",SUM(INDEX([INTEREST],1,1):PaymentSchedule[[#This Row],[INTEREST]]),"")</f>
        <v>20891.453919996453</v>
      </c>
    </row>
    <row r="68" spans="2:11">
      <c r="B68" s="4">
        <f>IF(LoanIsGood,IF(ROW()-ROW(PaymentSchedule[[#Headers],[PMT NO]])&gt;ScheduledNumberOfPayments,"",ROW()-ROW(PaymentSchedule[[#Headers],[PMT NO]])),"")</f>
        <v>49</v>
      </c>
      <c r="C68" s="5">
        <f>IF(PaymentSchedule[[#This Row],[PMT NO]]&lt;&gt;"",EOMONTH(LoanStartDate,ROW(PaymentSchedule[[#This Row],[PMT NO]])-ROW(PaymentSchedule[[#Headers],[PMT NO]])-2)+DAY(LoanStartDate),"")</f>
        <v>45536</v>
      </c>
      <c r="D68" s="7">
        <f>IF(PaymentSchedule[[#This Row],[PMT NO]]&lt;&gt;"",IF(ROW()-ROW(PaymentSchedule[[#Headers],[BEGINNING BALANCE]])=1,LoanAmount,INDEX([ENDING BALANCE],ROW()-ROW(PaymentSchedule[[#Headers],[BEGINNING BALANCE]])-1)),"")</f>
        <v>111706.38007402547</v>
      </c>
      <c r="E68" s="7">
        <f>IF(PaymentSchedule[[#This Row],[PMT NO]]&lt;&gt;"",ScheduledPayment,"")</f>
        <v>608.02237179106271</v>
      </c>
      <c r="F6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6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68" s="7">
        <f>IF(PaymentSchedule[[#This Row],[PMT NO]]&lt;&gt;"",PaymentSchedule[[#This Row],[TOTAL PAYMENT]]-PaymentSchedule[[#This Row],[INTEREST]],"")</f>
        <v>189.12344651346723</v>
      </c>
      <c r="I68" s="7">
        <f>IF(PaymentSchedule[[#This Row],[PMT NO]]&lt;&gt;"",PaymentSchedule[[#This Row],[BEGINNING BALANCE]]*(InterestRate/PaymentsPerYear),"")</f>
        <v>418.89892527759548</v>
      </c>
      <c r="J68" s="7">
        <f>IF(PaymentSchedule[[#This Row],[PMT NO]]&lt;&gt;"",IF(PaymentSchedule[[#This Row],[SCHEDULED PAYMENT]]+PaymentSchedule[[#This Row],[EXTRA PAYMENT]]&lt;=PaymentSchedule[[#This Row],[BEGINNING BALANCE]],PaymentSchedule[[#This Row],[BEGINNING BALANCE]]-PaymentSchedule[[#This Row],[PRINCIPAL]],0),"")</f>
        <v>111517.256627512</v>
      </c>
      <c r="K68" s="7">
        <f>IF(PaymentSchedule[[#This Row],[PMT NO]]&lt;&gt;"",SUM(INDEX([INTEREST],1,1):PaymentSchedule[[#This Row],[INTEREST]]),"")</f>
        <v>21310.35284527405</v>
      </c>
    </row>
    <row r="69" spans="2:11">
      <c r="B69" s="4">
        <f>IF(LoanIsGood,IF(ROW()-ROW(PaymentSchedule[[#Headers],[PMT NO]])&gt;ScheduledNumberOfPayments,"",ROW()-ROW(PaymentSchedule[[#Headers],[PMT NO]])),"")</f>
        <v>50</v>
      </c>
      <c r="C69" s="5">
        <f>IF(PaymentSchedule[[#This Row],[PMT NO]]&lt;&gt;"",EOMONTH(LoanStartDate,ROW(PaymentSchedule[[#This Row],[PMT NO]])-ROW(PaymentSchedule[[#Headers],[PMT NO]])-2)+DAY(LoanStartDate),"")</f>
        <v>45566</v>
      </c>
      <c r="D69" s="7">
        <f>IF(PaymentSchedule[[#This Row],[PMT NO]]&lt;&gt;"",IF(ROW()-ROW(PaymentSchedule[[#Headers],[BEGINNING BALANCE]])=1,LoanAmount,INDEX([ENDING BALANCE],ROW()-ROW(PaymentSchedule[[#Headers],[BEGINNING BALANCE]])-1)),"")</f>
        <v>111517.256627512</v>
      </c>
      <c r="E69" s="7">
        <f>IF(PaymentSchedule[[#This Row],[PMT NO]]&lt;&gt;"",ScheduledPayment,"")</f>
        <v>608.02237179106271</v>
      </c>
      <c r="F6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6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69" s="7">
        <f>IF(PaymentSchedule[[#This Row],[PMT NO]]&lt;&gt;"",PaymentSchedule[[#This Row],[TOTAL PAYMENT]]-PaymentSchedule[[#This Row],[INTEREST]],"")</f>
        <v>189.83265943789269</v>
      </c>
      <c r="I69" s="7">
        <f>IF(PaymentSchedule[[#This Row],[PMT NO]]&lt;&gt;"",PaymentSchedule[[#This Row],[BEGINNING BALANCE]]*(InterestRate/PaymentsPerYear),"")</f>
        <v>418.18971235317002</v>
      </c>
      <c r="J69" s="7">
        <f>IF(PaymentSchedule[[#This Row],[PMT NO]]&lt;&gt;"",IF(PaymentSchedule[[#This Row],[SCHEDULED PAYMENT]]+PaymentSchedule[[#This Row],[EXTRA PAYMENT]]&lt;=PaymentSchedule[[#This Row],[BEGINNING BALANCE]],PaymentSchedule[[#This Row],[BEGINNING BALANCE]]-PaymentSchedule[[#This Row],[PRINCIPAL]],0),"")</f>
        <v>111327.42396807412</v>
      </c>
      <c r="K69" s="7">
        <f>IF(PaymentSchedule[[#This Row],[PMT NO]]&lt;&gt;"",SUM(INDEX([INTEREST],1,1):PaymentSchedule[[#This Row],[INTEREST]]),"")</f>
        <v>21728.542557627221</v>
      </c>
    </row>
    <row r="70" spans="2:11">
      <c r="B70" s="4">
        <f>IF(LoanIsGood,IF(ROW()-ROW(PaymentSchedule[[#Headers],[PMT NO]])&gt;ScheduledNumberOfPayments,"",ROW()-ROW(PaymentSchedule[[#Headers],[PMT NO]])),"")</f>
        <v>51</v>
      </c>
      <c r="C70" s="5">
        <f>IF(PaymentSchedule[[#This Row],[PMT NO]]&lt;&gt;"",EOMONTH(LoanStartDate,ROW(PaymentSchedule[[#This Row],[PMT NO]])-ROW(PaymentSchedule[[#Headers],[PMT NO]])-2)+DAY(LoanStartDate),"")</f>
        <v>45597</v>
      </c>
      <c r="D70" s="7">
        <f>IF(PaymentSchedule[[#This Row],[PMT NO]]&lt;&gt;"",IF(ROW()-ROW(PaymentSchedule[[#Headers],[BEGINNING BALANCE]])=1,LoanAmount,INDEX([ENDING BALANCE],ROW()-ROW(PaymentSchedule[[#Headers],[BEGINNING BALANCE]])-1)),"")</f>
        <v>111327.42396807412</v>
      </c>
      <c r="E70" s="7">
        <f>IF(PaymentSchedule[[#This Row],[PMT NO]]&lt;&gt;"",ScheduledPayment,"")</f>
        <v>608.02237179106271</v>
      </c>
      <c r="F7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7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70" s="7">
        <f>IF(PaymentSchedule[[#This Row],[PMT NO]]&lt;&gt;"",PaymentSchedule[[#This Row],[TOTAL PAYMENT]]-PaymentSchedule[[#This Row],[INTEREST]],"")</f>
        <v>190.54453191078477</v>
      </c>
      <c r="I70" s="7">
        <f>IF(PaymentSchedule[[#This Row],[PMT NO]]&lt;&gt;"",PaymentSchedule[[#This Row],[BEGINNING BALANCE]]*(InterestRate/PaymentsPerYear),"")</f>
        <v>417.47783988027794</v>
      </c>
      <c r="J70" s="7">
        <f>IF(PaymentSchedule[[#This Row],[PMT NO]]&lt;&gt;"",IF(PaymentSchedule[[#This Row],[SCHEDULED PAYMENT]]+PaymentSchedule[[#This Row],[EXTRA PAYMENT]]&lt;=PaymentSchedule[[#This Row],[BEGINNING BALANCE]],PaymentSchedule[[#This Row],[BEGINNING BALANCE]]-PaymentSchedule[[#This Row],[PRINCIPAL]],0),"")</f>
        <v>111136.87943616333</v>
      </c>
      <c r="K70" s="7">
        <f>IF(PaymentSchedule[[#This Row],[PMT NO]]&lt;&gt;"",SUM(INDEX([INTEREST],1,1):PaymentSchedule[[#This Row],[INTEREST]]),"")</f>
        <v>22146.020397507498</v>
      </c>
    </row>
    <row r="71" spans="2:11">
      <c r="B71" s="4">
        <f>IF(LoanIsGood,IF(ROW()-ROW(PaymentSchedule[[#Headers],[PMT NO]])&gt;ScheduledNumberOfPayments,"",ROW()-ROW(PaymentSchedule[[#Headers],[PMT NO]])),"")</f>
        <v>52</v>
      </c>
      <c r="C71" s="5">
        <f>IF(PaymentSchedule[[#This Row],[PMT NO]]&lt;&gt;"",EOMONTH(LoanStartDate,ROW(PaymentSchedule[[#This Row],[PMT NO]])-ROW(PaymentSchedule[[#Headers],[PMT NO]])-2)+DAY(LoanStartDate),"")</f>
        <v>45627</v>
      </c>
      <c r="D71" s="7">
        <f>IF(PaymentSchedule[[#This Row],[PMT NO]]&lt;&gt;"",IF(ROW()-ROW(PaymentSchedule[[#Headers],[BEGINNING BALANCE]])=1,LoanAmount,INDEX([ENDING BALANCE],ROW()-ROW(PaymentSchedule[[#Headers],[BEGINNING BALANCE]])-1)),"")</f>
        <v>111136.87943616333</v>
      </c>
      <c r="E71" s="7">
        <f>IF(PaymentSchedule[[#This Row],[PMT NO]]&lt;&gt;"",ScheduledPayment,"")</f>
        <v>608.02237179106271</v>
      </c>
      <c r="F7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7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71" s="7">
        <f>IF(PaymentSchedule[[#This Row],[PMT NO]]&lt;&gt;"",PaymentSchedule[[#This Row],[TOTAL PAYMENT]]-PaymentSchedule[[#This Row],[INTEREST]],"")</f>
        <v>191.25907390545024</v>
      </c>
      <c r="I71" s="7">
        <f>IF(PaymentSchedule[[#This Row],[PMT NO]]&lt;&gt;"",PaymentSchedule[[#This Row],[BEGINNING BALANCE]]*(InterestRate/PaymentsPerYear),"")</f>
        <v>416.76329788561247</v>
      </c>
      <c r="J71" s="7">
        <f>IF(PaymentSchedule[[#This Row],[PMT NO]]&lt;&gt;"",IF(PaymentSchedule[[#This Row],[SCHEDULED PAYMENT]]+PaymentSchedule[[#This Row],[EXTRA PAYMENT]]&lt;=PaymentSchedule[[#This Row],[BEGINNING BALANCE]],PaymentSchedule[[#This Row],[BEGINNING BALANCE]]-PaymentSchedule[[#This Row],[PRINCIPAL]],0),"")</f>
        <v>110945.62036225789</v>
      </c>
      <c r="K71" s="7">
        <f>IF(PaymentSchedule[[#This Row],[PMT NO]]&lt;&gt;"",SUM(INDEX([INTEREST],1,1):PaymentSchedule[[#This Row],[INTEREST]]),"")</f>
        <v>22562.783695393111</v>
      </c>
    </row>
    <row r="72" spans="2:11">
      <c r="B72" s="4">
        <f>IF(LoanIsGood,IF(ROW()-ROW(PaymentSchedule[[#Headers],[PMT NO]])&gt;ScheduledNumberOfPayments,"",ROW()-ROW(PaymentSchedule[[#Headers],[PMT NO]])),"")</f>
        <v>53</v>
      </c>
      <c r="C72" s="5">
        <f>IF(PaymentSchedule[[#This Row],[PMT NO]]&lt;&gt;"",EOMONTH(LoanStartDate,ROW(PaymentSchedule[[#This Row],[PMT NO]])-ROW(PaymentSchedule[[#Headers],[PMT NO]])-2)+DAY(LoanStartDate),"")</f>
        <v>45658</v>
      </c>
      <c r="D72" s="7">
        <f>IF(PaymentSchedule[[#This Row],[PMT NO]]&lt;&gt;"",IF(ROW()-ROW(PaymentSchedule[[#Headers],[BEGINNING BALANCE]])=1,LoanAmount,INDEX([ENDING BALANCE],ROW()-ROW(PaymentSchedule[[#Headers],[BEGINNING BALANCE]])-1)),"")</f>
        <v>110945.62036225789</v>
      </c>
      <c r="E72" s="7">
        <f>IF(PaymentSchedule[[#This Row],[PMT NO]]&lt;&gt;"",ScheduledPayment,"")</f>
        <v>608.02237179106271</v>
      </c>
      <c r="F7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7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72" s="7">
        <f>IF(PaymentSchedule[[#This Row],[PMT NO]]&lt;&gt;"",PaymentSchedule[[#This Row],[TOTAL PAYMENT]]-PaymentSchedule[[#This Row],[INTEREST]],"")</f>
        <v>191.97629543259563</v>
      </c>
      <c r="I72" s="7">
        <f>IF(PaymentSchedule[[#This Row],[PMT NO]]&lt;&gt;"",PaymentSchedule[[#This Row],[BEGINNING BALANCE]]*(InterestRate/PaymentsPerYear),"")</f>
        <v>416.04607635846708</v>
      </c>
      <c r="J72" s="7">
        <f>IF(PaymentSchedule[[#This Row],[PMT NO]]&lt;&gt;"",IF(PaymentSchedule[[#This Row],[SCHEDULED PAYMENT]]+PaymentSchedule[[#This Row],[EXTRA PAYMENT]]&lt;=PaymentSchedule[[#This Row],[BEGINNING BALANCE]],PaymentSchedule[[#This Row],[BEGINNING BALANCE]]-PaymentSchedule[[#This Row],[PRINCIPAL]],0),"")</f>
        <v>110753.64406682529</v>
      </c>
      <c r="K72" s="7">
        <f>IF(PaymentSchedule[[#This Row],[PMT NO]]&lt;&gt;"",SUM(INDEX([INTEREST],1,1):PaymentSchedule[[#This Row],[INTEREST]]),"")</f>
        <v>22978.829771751578</v>
      </c>
    </row>
    <row r="73" spans="2:11">
      <c r="B73" s="4">
        <f>IF(LoanIsGood,IF(ROW()-ROW(PaymentSchedule[[#Headers],[PMT NO]])&gt;ScheduledNumberOfPayments,"",ROW()-ROW(PaymentSchedule[[#Headers],[PMT NO]])),"")</f>
        <v>54</v>
      </c>
      <c r="C73" s="5">
        <f>IF(PaymentSchedule[[#This Row],[PMT NO]]&lt;&gt;"",EOMONTH(LoanStartDate,ROW(PaymentSchedule[[#This Row],[PMT NO]])-ROW(PaymentSchedule[[#Headers],[PMT NO]])-2)+DAY(LoanStartDate),"")</f>
        <v>45689</v>
      </c>
      <c r="D73" s="7">
        <f>IF(PaymentSchedule[[#This Row],[PMT NO]]&lt;&gt;"",IF(ROW()-ROW(PaymentSchedule[[#Headers],[BEGINNING BALANCE]])=1,LoanAmount,INDEX([ENDING BALANCE],ROW()-ROW(PaymentSchedule[[#Headers],[BEGINNING BALANCE]])-1)),"")</f>
        <v>110753.64406682529</v>
      </c>
      <c r="E73" s="7">
        <f>IF(PaymentSchedule[[#This Row],[PMT NO]]&lt;&gt;"",ScheduledPayment,"")</f>
        <v>608.02237179106271</v>
      </c>
      <c r="F7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7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73" s="7">
        <f>IF(PaymentSchedule[[#This Row],[PMT NO]]&lt;&gt;"",PaymentSchedule[[#This Row],[TOTAL PAYMENT]]-PaymentSchedule[[#This Row],[INTEREST]],"")</f>
        <v>192.69620654046787</v>
      </c>
      <c r="I73" s="7">
        <f>IF(PaymentSchedule[[#This Row],[PMT NO]]&lt;&gt;"",PaymentSchedule[[#This Row],[BEGINNING BALANCE]]*(InterestRate/PaymentsPerYear),"")</f>
        <v>415.32616525059484</v>
      </c>
      <c r="J73" s="7">
        <f>IF(PaymentSchedule[[#This Row],[PMT NO]]&lt;&gt;"",IF(PaymentSchedule[[#This Row],[SCHEDULED PAYMENT]]+PaymentSchedule[[#This Row],[EXTRA PAYMENT]]&lt;=PaymentSchedule[[#This Row],[BEGINNING BALANCE]],PaymentSchedule[[#This Row],[BEGINNING BALANCE]]-PaymentSchedule[[#This Row],[PRINCIPAL]],0),"")</f>
        <v>110560.94786028482</v>
      </c>
      <c r="K73" s="7">
        <f>IF(PaymentSchedule[[#This Row],[PMT NO]]&lt;&gt;"",SUM(INDEX([INTEREST],1,1):PaymentSchedule[[#This Row],[INTEREST]]),"")</f>
        <v>23394.155937002171</v>
      </c>
    </row>
    <row r="74" spans="2:11">
      <c r="B74" s="4">
        <f>IF(LoanIsGood,IF(ROW()-ROW(PaymentSchedule[[#Headers],[PMT NO]])&gt;ScheduledNumberOfPayments,"",ROW()-ROW(PaymentSchedule[[#Headers],[PMT NO]])),"")</f>
        <v>55</v>
      </c>
      <c r="C74" s="5">
        <f>IF(PaymentSchedule[[#This Row],[PMT NO]]&lt;&gt;"",EOMONTH(LoanStartDate,ROW(PaymentSchedule[[#This Row],[PMT NO]])-ROW(PaymentSchedule[[#Headers],[PMT NO]])-2)+DAY(LoanStartDate),"")</f>
        <v>45717</v>
      </c>
      <c r="D74" s="7">
        <f>IF(PaymentSchedule[[#This Row],[PMT NO]]&lt;&gt;"",IF(ROW()-ROW(PaymentSchedule[[#Headers],[BEGINNING BALANCE]])=1,LoanAmount,INDEX([ENDING BALANCE],ROW()-ROW(PaymentSchedule[[#Headers],[BEGINNING BALANCE]])-1)),"")</f>
        <v>110560.94786028482</v>
      </c>
      <c r="E74" s="7">
        <f>IF(PaymentSchedule[[#This Row],[PMT NO]]&lt;&gt;"",ScheduledPayment,"")</f>
        <v>608.02237179106271</v>
      </c>
      <c r="F7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7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74" s="7">
        <f>IF(PaymentSchedule[[#This Row],[PMT NO]]&lt;&gt;"",PaymentSchedule[[#This Row],[TOTAL PAYMENT]]-PaymentSchedule[[#This Row],[INTEREST]],"")</f>
        <v>193.41881731499461</v>
      </c>
      <c r="I74" s="7">
        <f>IF(PaymentSchedule[[#This Row],[PMT NO]]&lt;&gt;"",PaymentSchedule[[#This Row],[BEGINNING BALANCE]]*(InterestRate/PaymentsPerYear),"")</f>
        <v>414.6035544760681</v>
      </c>
      <c r="J74" s="7">
        <f>IF(PaymentSchedule[[#This Row],[PMT NO]]&lt;&gt;"",IF(PaymentSchedule[[#This Row],[SCHEDULED PAYMENT]]+PaymentSchedule[[#This Row],[EXTRA PAYMENT]]&lt;=PaymentSchedule[[#This Row],[BEGINNING BALANCE]],PaymentSchedule[[#This Row],[BEGINNING BALANCE]]-PaymentSchedule[[#This Row],[PRINCIPAL]],0),"")</f>
        <v>110367.52904296984</v>
      </c>
      <c r="K74" s="7">
        <f>IF(PaymentSchedule[[#This Row],[PMT NO]]&lt;&gt;"",SUM(INDEX([INTEREST],1,1):PaymentSchedule[[#This Row],[INTEREST]]),"")</f>
        <v>23808.759491478238</v>
      </c>
    </row>
    <row r="75" spans="2:11">
      <c r="B75" s="4">
        <f>IF(LoanIsGood,IF(ROW()-ROW(PaymentSchedule[[#Headers],[PMT NO]])&gt;ScheduledNumberOfPayments,"",ROW()-ROW(PaymentSchedule[[#Headers],[PMT NO]])),"")</f>
        <v>56</v>
      </c>
      <c r="C75" s="5">
        <f>IF(PaymentSchedule[[#This Row],[PMT NO]]&lt;&gt;"",EOMONTH(LoanStartDate,ROW(PaymentSchedule[[#This Row],[PMT NO]])-ROW(PaymentSchedule[[#Headers],[PMT NO]])-2)+DAY(LoanStartDate),"")</f>
        <v>45748</v>
      </c>
      <c r="D75" s="7">
        <f>IF(PaymentSchedule[[#This Row],[PMT NO]]&lt;&gt;"",IF(ROW()-ROW(PaymentSchedule[[#Headers],[BEGINNING BALANCE]])=1,LoanAmount,INDEX([ENDING BALANCE],ROW()-ROW(PaymentSchedule[[#Headers],[BEGINNING BALANCE]])-1)),"")</f>
        <v>110367.52904296984</v>
      </c>
      <c r="E75" s="7">
        <f>IF(PaymentSchedule[[#This Row],[PMT NO]]&lt;&gt;"",ScheduledPayment,"")</f>
        <v>608.02237179106271</v>
      </c>
      <c r="F7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7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75" s="7">
        <f>IF(PaymentSchedule[[#This Row],[PMT NO]]&lt;&gt;"",PaymentSchedule[[#This Row],[TOTAL PAYMENT]]-PaymentSchedule[[#This Row],[INTEREST]],"")</f>
        <v>194.14413787992584</v>
      </c>
      <c r="I75" s="7">
        <f>IF(PaymentSchedule[[#This Row],[PMT NO]]&lt;&gt;"",PaymentSchedule[[#This Row],[BEGINNING BALANCE]]*(InterestRate/PaymentsPerYear),"")</f>
        <v>413.87823391113687</v>
      </c>
      <c r="J75" s="7">
        <f>IF(PaymentSchedule[[#This Row],[PMT NO]]&lt;&gt;"",IF(PaymentSchedule[[#This Row],[SCHEDULED PAYMENT]]+PaymentSchedule[[#This Row],[EXTRA PAYMENT]]&lt;=PaymentSchedule[[#This Row],[BEGINNING BALANCE]],PaymentSchedule[[#This Row],[BEGINNING BALANCE]]-PaymentSchedule[[#This Row],[PRINCIPAL]],0),"")</f>
        <v>110173.38490508992</v>
      </c>
      <c r="K75" s="7">
        <f>IF(PaymentSchedule[[#This Row],[PMT NO]]&lt;&gt;"",SUM(INDEX([INTEREST],1,1):PaymentSchedule[[#This Row],[INTEREST]]),"")</f>
        <v>24222.637725389377</v>
      </c>
    </row>
    <row r="76" spans="2:11">
      <c r="B76" s="4">
        <f>IF(LoanIsGood,IF(ROW()-ROW(PaymentSchedule[[#Headers],[PMT NO]])&gt;ScheduledNumberOfPayments,"",ROW()-ROW(PaymentSchedule[[#Headers],[PMT NO]])),"")</f>
        <v>57</v>
      </c>
      <c r="C76" s="5">
        <f>IF(PaymentSchedule[[#This Row],[PMT NO]]&lt;&gt;"",EOMONTH(LoanStartDate,ROW(PaymentSchedule[[#This Row],[PMT NO]])-ROW(PaymentSchedule[[#Headers],[PMT NO]])-2)+DAY(LoanStartDate),"")</f>
        <v>45778</v>
      </c>
      <c r="D76" s="7">
        <f>IF(PaymentSchedule[[#This Row],[PMT NO]]&lt;&gt;"",IF(ROW()-ROW(PaymentSchedule[[#Headers],[BEGINNING BALANCE]])=1,LoanAmount,INDEX([ENDING BALANCE],ROW()-ROW(PaymentSchedule[[#Headers],[BEGINNING BALANCE]])-1)),"")</f>
        <v>110173.38490508992</v>
      </c>
      <c r="E76" s="7">
        <f>IF(PaymentSchedule[[#This Row],[PMT NO]]&lt;&gt;"",ScheduledPayment,"")</f>
        <v>608.02237179106271</v>
      </c>
      <c r="F7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7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76" s="7">
        <f>IF(PaymentSchedule[[#This Row],[PMT NO]]&lt;&gt;"",PaymentSchedule[[#This Row],[TOTAL PAYMENT]]-PaymentSchedule[[#This Row],[INTEREST]],"")</f>
        <v>194.87217839697553</v>
      </c>
      <c r="I76" s="7">
        <f>IF(PaymentSchedule[[#This Row],[PMT NO]]&lt;&gt;"",PaymentSchedule[[#This Row],[BEGINNING BALANCE]]*(InterestRate/PaymentsPerYear),"")</f>
        <v>413.15019339408718</v>
      </c>
      <c r="J76" s="7">
        <f>IF(PaymentSchedule[[#This Row],[PMT NO]]&lt;&gt;"",IF(PaymentSchedule[[#This Row],[SCHEDULED PAYMENT]]+PaymentSchedule[[#This Row],[EXTRA PAYMENT]]&lt;=PaymentSchedule[[#This Row],[BEGINNING BALANCE]],PaymentSchedule[[#This Row],[BEGINNING BALANCE]]-PaymentSchedule[[#This Row],[PRINCIPAL]],0),"")</f>
        <v>109978.51272669293</v>
      </c>
      <c r="K76" s="7">
        <f>IF(PaymentSchedule[[#This Row],[PMT NO]]&lt;&gt;"",SUM(INDEX([INTEREST],1,1):PaymentSchedule[[#This Row],[INTEREST]]),"")</f>
        <v>24635.787918783462</v>
      </c>
    </row>
    <row r="77" spans="2:11">
      <c r="B77" s="4">
        <f>IF(LoanIsGood,IF(ROW()-ROW(PaymentSchedule[[#Headers],[PMT NO]])&gt;ScheduledNumberOfPayments,"",ROW()-ROW(PaymentSchedule[[#Headers],[PMT NO]])),"")</f>
        <v>58</v>
      </c>
      <c r="C77" s="5">
        <f>IF(PaymentSchedule[[#This Row],[PMT NO]]&lt;&gt;"",EOMONTH(LoanStartDate,ROW(PaymentSchedule[[#This Row],[PMT NO]])-ROW(PaymentSchedule[[#Headers],[PMT NO]])-2)+DAY(LoanStartDate),"")</f>
        <v>45809</v>
      </c>
      <c r="D77" s="7">
        <f>IF(PaymentSchedule[[#This Row],[PMT NO]]&lt;&gt;"",IF(ROW()-ROW(PaymentSchedule[[#Headers],[BEGINNING BALANCE]])=1,LoanAmount,INDEX([ENDING BALANCE],ROW()-ROW(PaymentSchedule[[#Headers],[BEGINNING BALANCE]])-1)),"")</f>
        <v>109978.51272669293</v>
      </c>
      <c r="E77" s="7">
        <f>IF(PaymentSchedule[[#This Row],[PMT NO]]&lt;&gt;"",ScheduledPayment,"")</f>
        <v>608.02237179106271</v>
      </c>
      <c r="F7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7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77" s="7">
        <f>IF(PaymentSchedule[[#This Row],[PMT NO]]&lt;&gt;"",PaymentSchedule[[#This Row],[TOTAL PAYMENT]]-PaymentSchedule[[#This Row],[INTEREST]],"")</f>
        <v>195.6029490659642</v>
      </c>
      <c r="I77" s="7">
        <f>IF(PaymentSchedule[[#This Row],[PMT NO]]&lt;&gt;"",PaymentSchedule[[#This Row],[BEGINNING BALANCE]]*(InterestRate/PaymentsPerYear),"")</f>
        <v>412.41942272509851</v>
      </c>
      <c r="J77" s="7">
        <f>IF(PaymentSchedule[[#This Row],[PMT NO]]&lt;&gt;"",IF(PaymentSchedule[[#This Row],[SCHEDULED PAYMENT]]+PaymentSchedule[[#This Row],[EXTRA PAYMENT]]&lt;=PaymentSchedule[[#This Row],[BEGINNING BALANCE]],PaymentSchedule[[#This Row],[BEGINNING BALANCE]]-PaymentSchedule[[#This Row],[PRINCIPAL]],0),"")</f>
        <v>109782.90977762696</v>
      </c>
      <c r="K77" s="7">
        <f>IF(PaymentSchedule[[#This Row],[PMT NO]]&lt;&gt;"",SUM(INDEX([INTEREST],1,1):PaymentSchedule[[#This Row],[INTEREST]]),"")</f>
        <v>25048.207341508562</v>
      </c>
    </row>
    <row r="78" spans="2:11">
      <c r="B78" s="4">
        <f>IF(LoanIsGood,IF(ROW()-ROW(PaymentSchedule[[#Headers],[PMT NO]])&gt;ScheduledNumberOfPayments,"",ROW()-ROW(PaymentSchedule[[#Headers],[PMT NO]])),"")</f>
        <v>59</v>
      </c>
      <c r="C78" s="5">
        <f>IF(PaymentSchedule[[#This Row],[PMT NO]]&lt;&gt;"",EOMONTH(LoanStartDate,ROW(PaymentSchedule[[#This Row],[PMT NO]])-ROW(PaymentSchedule[[#Headers],[PMT NO]])-2)+DAY(LoanStartDate),"")</f>
        <v>45839</v>
      </c>
      <c r="D78" s="7">
        <f>IF(PaymentSchedule[[#This Row],[PMT NO]]&lt;&gt;"",IF(ROW()-ROW(PaymentSchedule[[#Headers],[BEGINNING BALANCE]])=1,LoanAmount,INDEX([ENDING BALANCE],ROW()-ROW(PaymentSchedule[[#Headers],[BEGINNING BALANCE]])-1)),"")</f>
        <v>109782.90977762696</v>
      </c>
      <c r="E78" s="7">
        <f>IF(PaymentSchedule[[#This Row],[PMT NO]]&lt;&gt;"",ScheduledPayment,"")</f>
        <v>608.02237179106271</v>
      </c>
      <c r="F7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7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78" s="7">
        <f>IF(PaymentSchedule[[#This Row],[PMT NO]]&lt;&gt;"",PaymentSchedule[[#This Row],[TOTAL PAYMENT]]-PaymentSchedule[[#This Row],[INTEREST]],"")</f>
        <v>196.3364601249616</v>
      </c>
      <c r="I78" s="7">
        <f>IF(PaymentSchedule[[#This Row],[PMT NO]]&lt;&gt;"",PaymentSchedule[[#This Row],[BEGINNING BALANCE]]*(InterestRate/PaymentsPerYear),"")</f>
        <v>411.68591166610111</v>
      </c>
      <c r="J78" s="7">
        <f>IF(PaymentSchedule[[#This Row],[PMT NO]]&lt;&gt;"",IF(PaymentSchedule[[#This Row],[SCHEDULED PAYMENT]]+PaymentSchedule[[#This Row],[EXTRA PAYMENT]]&lt;=PaymentSchedule[[#This Row],[BEGINNING BALANCE]],PaymentSchedule[[#This Row],[BEGINNING BALANCE]]-PaymentSchedule[[#This Row],[PRINCIPAL]],0),"")</f>
        <v>109586.573317502</v>
      </c>
      <c r="K78" s="7">
        <f>IF(PaymentSchedule[[#This Row],[PMT NO]]&lt;&gt;"",SUM(INDEX([INTEREST],1,1):PaymentSchedule[[#This Row],[INTEREST]]),"")</f>
        <v>25459.893253174661</v>
      </c>
    </row>
    <row r="79" spans="2:11">
      <c r="B79" s="4">
        <f>IF(LoanIsGood,IF(ROW()-ROW(PaymentSchedule[[#Headers],[PMT NO]])&gt;ScheduledNumberOfPayments,"",ROW()-ROW(PaymentSchedule[[#Headers],[PMT NO]])),"")</f>
        <v>60</v>
      </c>
      <c r="C79" s="5">
        <f>IF(PaymentSchedule[[#This Row],[PMT NO]]&lt;&gt;"",EOMONTH(LoanStartDate,ROW(PaymentSchedule[[#This Row],[PMT NO]])-ROW(PaymentSchedule[[#Headers],[PMT NO]])-2)+DAY(LoanStartDate),"")</f>
        <v>45870</v>
      </c>
      <c r="D79" s="7">
        <f>IF(PaymentSchedule[[#This Row],[PMT NO]]&lt;&gt;"",IF(ROW()-ROW(PaymentSchedule[[#Headers],[BEGINNING BALANCE]])=1,LoanAmount,INDEX([ENDING BALANCE],ROW()-ROW(PaymentSchedule[[#Headers],[BEGINNING BALANCE]])-1)),"")</f>
        <v>109586.573317502</v>
      </c>
      <c r="E79" s="7">
        <f>IF(PaymentSchedule[[#This Row],[PMT NO]]&lt;&gt;"",ScheduledPayment,"")</f>
        <v>608.02237179106271</v>
      </c>
      <c r="F7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7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79" s="7">
        <f>IF(PaymentSchedule[[#This Row],[PMT NO]]&lt;&gt;"",PaymentSchedule[[#This Row],[TOTAL PAYMENT]]-PaymentSchedule[[#This Row],[INTEREST]],"")</f>
        <v>197.07272185043024</v>
      </c>
      <c r="I79" s="7">
        <f>IF(PaymentSchedule[[#This Row],[PMT NO]]&lt;&gt;"",PaymentSchedule[[#This Row],[BEGINNING BALANCE]]*(InterestRate/PaymentsPerYear),"")</f>
        <v>410.94964994063247</v>
      </c>
      <c r="J79" s="7">
        <f>IF(PaymentSchedule[[#This Row],[PMT NO]]&lt;&gt;"",IF(PaymentSchedule[[#This Row],[SCHEDULED PAYMENT]]+PaymentSchedule[[#This Row],[EXTRA PAYMENT]]&lt;=PaymentSchedule[[#This Row],[BEGINNING BALANCE]],PaymentSchedule[[#This Row],[BEGINNING BALANCE]]-PaymentSchedule[[#This Row],[PRINCIPAL]],0),"")</f>
        <v>109389.50059565157</v>
      </c>
      <c r="K79" s="7">
        <f>IF(PaymentSchedule[[#This Row],[PMT NO]]&lt;&gt;"",SUM(INDEX([INTEREST],1,1):PaymentSchedule[[#This Row],[INTEREST]]),"")</f>
        <v>25870.842903115295</v>
      </c>
    </row>
    <row r="80" spans="2:11">
      <c r="B80" s="4">
        <f>IF(LoanIsGood,IF(ROW()-ROW(PaymentSchedule[[#Headers],[PMT NO]])&gt;ScheduledNumberOfPayments,"",ROW()-ROW(PaymentSchedule[[#Headers],[PMT NO]])),"")</f>
        <v>61</v>
      </c>
      <c r="C80" s="5">
        <f>IF(PaymentSchedule[[#This Row],[PMT NO]]&lt;&gt;"",EOMONTH(LoanStartDate,ROW(PaymentSchedule[[#This Row],[PMT NO]])-ROW(PaymentSchedule[[#Headers],[PMT NO]])-2)+DAY(LoanStartDate),"")</f>
        <v>45901</v>
      </c>
      <c r="D80" s="7">
        <f>IF(PaymentSchedule[[#This Row],[PMT NO]]&lt;&gt;"",IF(ROW()-ROW(PaymentSchedule[[#Headers],[BEGINNING BALANCE]])=1,LoanAmount,INDEX([ENDING BALANCE],ROW()-ROW(PaymentSchedule[[#Headers],[BEGINNING BALANCE]])-1)),"")</f>
        <v>109389.50059565157</v>
      </c>
      <c r="E80" s="7">
        <f>IF(PaymentSchedule[[#This Row],[PMT NO]]&lt;&gt;"",ScheduledPayment,"")</f>
        <v>608.02237179106271</v>
      </c>
      <c r="F8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8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80" s="7">
        <f>IF(PaymentSchedule[[#This Row],[PMT NO]]&lt;&gt;"",PaymentSchedule[[#This Row],[TOTAL PAYMENT]]-PaymentSchedule[[#This Row],[INTEREST]],"")</f>
        <v>197.81174455736937</v>
      </c>
      <c r="I80" s="7">
        <f>IF(PaymentSchedule[[#This Row],[PMT NO]]&lt;&gt;"",PaymentSchedule[[#This Row],[BEGINNING BALANCE]]*(InterestRate/PaymentsPerYear),"")</f>
        <v>410.21062723369334</v>
      </c>
      <c r="J80" s="7">
        <f>IF(PaymentSchedule[[#This Row],[PMT NO]]&lt;&gt;"",IF(PaymentSchedule[[#This Row],[SCHEDULED PAYMENT]]+PaymentSchedule[[#This Row],[EXTRA PAYMENT]]&lt;=PaymentSchedule[[#This Row],[BEGINNING BALANCE]],PaymentSchedule[[#This Row],[BEGINNING BALANCE]]-PaymentSchedule[[#This Row],[PRINCIPAL]],0),"")</f>
        <v>109191.68885109419</v>
      </c>
      <c r="K80" s="7">
        <f>IF(PaymentSchedule[[#This Row],[PMT NO]]&lt;&gt;"",SUM(INDEX([INTEREST],1,1):PaymentSchedule[[#This Row],[INTEREST]]),"")</f>
        <v>26281.053530348989</v>
      </c>
    </row>
    <row r="81" spans="2:11">
      <c r="B81" s="4">
        <f>IF(LoanIsGood,IF(ROW()-ROW(PaymentSchedule[[#Headers],[PMT NO]])&gt;ScheduledNumberOfPayments,"",ROW()-ROW(PaymentSchedule[[#Headers],[PMT NO]])),"")</f>
        <v>62</v>
      </c>
      <c r="C81" s="5">
        <f>IF(PaymentSchedule[[#This Row],[PMT NO]]&lt;&gt;"",EOMONTH(LoanStartDate,ROW(PaymentSchedule[[#This Row],[PMT NO]])-ROW(PaymentSchedule[[#Headers],[PMT NO]])-2)+DAY(LoanStartDate),"")</f>
        <v>45931</v>
      </c>
      <c r="D81" s="7">
        <f>IF(PaymentSchedule[[#This Row],[PMT NO]]&lt;&gt;"",IF(ROW()-ROW(PaymentSchedule[[#Headers],[BEGINNING BALANCE]])=1,LoanAmount,INDEX([ENDING BALANCE],ROW()-ROW(PaymentSchedule[[#Headers],[BEGINNING BALANCE]])-1)),"")</f>
        <v>109191.68885109419</v>
      </c>
      <c r="E81" s="7">
        <f>IF(PaymentSchedule[[#This Row],[PMT NO]]&lt;&gt;"",ScheduledPayment,"")</f>
        <v>608.02237179106271</v>
      </c>
      <c r="F8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8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81" s="7">
        <f>IF(PaymentSchedule[[#This Row],[PMT NO]]&lt;&gt;"",PaymentSchedule[[#This Row],[TOTAL PAYMENT]]-PaymentSchedule[[#This Row],[INTEREST]],"")</f>
        <v>198.5535385994595</v>
      </c>
      <c r="I81" s="7">
        <f>IF(PaymentSchedule[[#This Row],[PMT NO]]&lt;&gt;"",PaymentSchedule[[#This Row],[BEGINNING BALANCE]]*(InterestRate/PaymentsPerYear),"")</f>
        <v>409.46883319160321</v>
      </c>
      <c r="J81" s="7">
        <f>IF(PaymentSchedule[[#This Row],[PMT NO]]&lt;&gt;"",IF(PaymentSchedule[[#This Row],[SCHEDULED PAYMENT]]+PaymentSchedule[[#This Row],[EXTRA PAYMENT]]&lt;=PaymentSchedule[[#This Row],[BEGINNING BALANCE]],PaymentSchedule[[#This Row],[BEGINNING BALANCE]]-PaymentSchedule[[#This Row],[PRINCIPAL]],0),"")</f>
        <v>108993.13531249473</v>
      </c>
      <c r="K81" s="7">
        <f>IF(PaymentSchedule[[#This Row],[PMT NO]]&lt;&gt;"",SUM(INDEX([INTEREST],1,1):PaymentSchedule[[#This Row],[INTEREST]]),"")</f>
        <v>26690.522363540593</v>
      </c>
    </row>
    <row r="82" spans="2:11">
      <c r="B82" s="4">
        <f>IF(LoanIsGood,IF(ROW()-ROW(PaymentSchedule[[#Headers],[PMT NO]])&gt;ScheduledNumberOfPayments,"",ROW()-ROW(PaymentSchedule[[#Headers],[PMT NO]])),"")</f>
        <v>63</v>
      </c>
      <c r="C82" s="5">
        <f>IF(PaymentSchedule[[#This Row],[PMT NO]]&lt;&gt;"",EOMONTH(LoanStartDate,ROW(PaymentSchedule[[#This Row],[PMT NO]])-ROW(PaymentSchedule[[#Headers],[PMT NO]])-2)+DAY(LoanStartDate),"")</f>
        <v>45962</v>
      </c>
      <c r="D82" s="7">
        <f>IF(PaymentSchedule[[#This Row],[PMT NO]]&lt;&gt;"",IF(ROW()-ROW(PaymentSchedule[[#Headers],[BEGINNING BALANCE]])=1,LoanAmount,INDEX([ENDING BALANCE],ROW()-ROW(PaymentSchedule[[#Headers],[BEGINNING BALANCE]])-1)),"")</f>
        <v>108993.13531249473</v>
      </c>
      <c r="E82" s="7">
        <f>IF(PaymentSchedule[[#This Row],[PMT NO]]&lt;&gt;"",ScheduledPayment,"")</f>
        <v>608.02237179106271</v>
      </c>
      <c r="F8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8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82" s="7">
        <f>IF(PaymentSchedule[[#This Row],[PMT NO]]&lt;&gt;"",PaymentSchedule[[#This Row],[TOTAL PAYMENT]]-PaymentSchedule[[#This Row],[INTEREST]],"")</f>
        <v>199.2981143692075</v>
      </c>
      <c r="I82" s="7">
        <f>IF(PaymentSchedule[[#This Row],[PMT NO]]&lt;&gt;"",PaymentSchedule[[#This Row],[BEGINNING BALANCE]]*(InterestRate/PaymentsPerYear),"")</f>
        <v>408.72425742185521</v>
      </c>
      <c r="J82" s="7">
        <f>IF(PaymentSchedule[[#This Row],[PMT NO]]&lt;&gt;"",IF(PaymentSchedule[[#This Row],[SCHEDULED PAYMENT]]+PaymentSchedule[[#This Row],[EXTRA PAYMENT]]&lt;=PaymentSchedule[[#This Row],[BEGINNING BALANCE]],PaymentSchedule[[#This Row],[BEGINNING BALANCE]]-PaymentSchedule[[#This Row],[PRINCIPAL]],0),"")</f>
        <v>108793.83719812553</v>
      </c>
      <c r="K82" s="7">
        <f>IF(PaymentSchedule[[#This Row],[PMT NO]]&lt;&gt;"",SUM(INDEX([INTEREST],1,1):PaymentSchedule[[#This Row],[INTEREST]]),"")</f>
        <v>27099.246620962447</v>
      </c>
    </row>
    <row r="83" spans="2:11">
      <c r="B83" s="4">
        <f>IF(LoanIsGood,IF(ROW()-ROW(PaymentSchedule[[#Headers],[PMT NO]])&gt;ScheduledNumberOfPayments,"",ROW()-ROW(PaymentSchedule[[#Headers],[PMT NO]])),"")</f>
        <v>64</v>
      </c>
      <c r="C83" s="5">
        <f>IF(PaymentSchedule[[#This Row],[PMT NO]]&lt;&gt;"",EOMONTH(LoanStartDate,ROW(PaymentSchedule[[#This Row],[PMT NO]])-ROW(PaymentSchedule[[#Headers],[PMT NO]])-2)+DAY(LoanStartDate),"")</f>
        <v>45992</v>
      </c>
      <c r="D83" s="7">
        <f>IF(PaymentSchedule[[#This Row],[PMT NO]]&lt;&gt;"",IF(ROW()-ROW(PaymentSchedule[[#Headers],[BEGINNING BALANCE]])=1,LoanAmount,INDEX([ENDING BALANCE],ROW()-ROW(PaymentSchedule[[#Headers],[BEGINNING BALANCE]])-1)),"")</f>
        <v>108793.83719812553</v>
      </c>
      <c r="E83" s="7">
        <f>IF(PaymentSchedule[[#This Row],[PMT NO]]&lt;&gt;"",ScheduledPayment,"")</f>
        <v>608.02237179106271</v>
      </c>
      <c r="F8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8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83" s="7">
        <f>IF(PaymentSchedule[[#This Row],[PMT NO]]&lt;&gt;"",PaymentSchedule[[#This Row],[TOTAL PAYMENT]]-PaymentSchedule[[#This Row],[INTEREST]],"")</f>
        <v>200.045482298092</v>
      </c>
      <c r="I83" s="7">
        <f>IF(PaymentSchedule[[#This Row],[PMT NO]]&lt;&gt;"",PaymentSchedule[[#This Row],[BEGINNING BALANCE]]*(InterestRate/PaymentsPerYear),"")</f>
        <v>407.97688949297071</v>
      </c>
      <c r="J83" s="7">
        <f>IF(PaymentSchedule[[#This Row],[PMT NO]]&lt;&gt;"",IF(PaymentSchedule[[#This Row],[SCHEDULED PAYMENT]]+PaymentSchedule[[#This Row],[EXTRA PAYMENT]]&lt;=PaymentSchedule[[#This Row],[BEGINNING BALANCE]],PaymentSchedule[[#This Row],[BEGINNING BALANCE]]-PaymentSchedule[[#This Row],[PRINCIPAL]],0),"")</f>
        <v>108593.79171582744</v>
      </c>
      <c r="K83" s="7">
        <f>IF(PaymentSchedule[[#This Row],[PMT NO]]&lt;&gt;"",SUM(INDEX([INTEREST],1,1):PaymentSchedule[[#This Row],[INTEREST]]),"")</f>
        <v>27507.223510455417</v>
      </c>
    </row>
    <row r="84" spans="2:11">
      <c r="B84" s="4">
        <f>IF(LoanIsGood,IF(ROW()-ROW(PaymentSchedule[[#Headers],[PMT NO]])&gt;ScheduledNumberOfPayments,"",ROW()-ROW(PaymentSchedule[[#Headers],[PMT NO]])),"")</f>
        <v>65</v>
      </c>
      <c r="C84" s="5">
        <f>IF(PaymentSchedule[[#This Row],[PMT NO]]&lt;&gt;"",EOMONTH(LoanStartDate,ROW(PaymentSchedule[[#This Row],[PMT NO]])-ROW(PaymentSchedule[[#Headers],[PMT NO]])-2)+DAY(LoanStartDate),"")</f>
        <v>46023</v>
      </c>
      <c r="D84" s="7">
        <f>IF(PaymentSchedule[[#This Row],[PMT NO]]&lt;&gt;"",IF(ROW()-ROW(PaymentSchedule[[#Headers],[BEGINNING BALANCE]])=1,LoanAmount,INDEX([ENDING BALANCE],ROW()-ROW(PaymentSchedule[[#Headers],[BEGINNING BALANCE]])-1)),"")</f>
        <v>108593.79171582744</v>
      </c>
      <c r="E84" s="7">
        <f>IF(PaymentSchedule[[#This Row],[PMT NO]]&lt;&gt;"",ScheduledPayment,"")</f>
        <v>608.02237179106271</v>
      </c>
      <c r="F8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8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84" s="7">
        <f>IF(PaymentSchedule[[#This Row],[PMT NO]]&lt;&gt;"",PaymentSchedule[[#This Row],[TOTAL PAYMENT]]-PaymentSchedule[[#This Row],[INTEREST]],"")</f>
        <v>200.79565285670986</v>
      </c>
      <c r="I84" s="7">
        <f>IF(PaymentSchedule[[#This Row],[PMT NO]]&lt;&gt;"",PaymentSchedule[[#This Row],[BEGINNING BALANCE]]*(InterestRate/PaymentsPerYear),"")</f>
        <v>407.22671893435285</v>
      </c>
      <c r="J84" s="7">
        <f>IF(PaymentSchedule[[#This Row],[PMT NO]]&lt;&gt;"",IF(PaymentSchedule[[#This Row],[SCHEDULED PAYMENT]]+PaymentSchedule[[#This Row],[EXTRA PAYMENT]]&lt;=PaymentSchedule[[#This Row],[BEGINNING BALANCE]],PaymentSchedule[[#This Row],[BEGINNING BALANCE]]-PaymentSchedule[[#This Row],[PRINCIPAL]],0),"")</f>
        <v>108392.99606297072</v>
      </c>
      <c r="K84" s="7">
        <f>IF(PaymentSchedule[[#This Row],[PMT NO]]&lt;&gt;"",SUM(INDEX([INTEREST],1,1):PaymentSchedule[[#This Row],[INTEREST]]),"")</f>
        <v>27914.450229389768</v>
      </c>
    </row>
    <row r="85" spans="2:11">
      <c r="B85" s="4">
        <f>IF(LoanIsGood,IF(ROW()-ROW(PaymentSchedule[[#Headers],[PMT NO]])&gt;ScheduledNumberOfPayments,"",ROW()-ROW(PaymentSchedule[[#Headers],[PMT NO]])),"")</f>
        <v>66</v>
      </c>
      <c r="C85" s="5">
        <f>IF(PaymentSchedule[[#This Row],[PMT NO]]&lt;&gt;"",EOMONTH(LoanStartDate,ROW(PaymentSchedule[[#This Row],[PMT NO]])-ROW(PaymentSchedule[[#Headers],[PMT NO]])-2)+DAY(LoanStartDate),"")</f>
        <v>46054</v>
      </c>
      <c r="D85" s="7">
        <f>IF(PaymentSchedule[[#This Row],[PMT NO]]&lt;&gt;"",IF(ROW()-ROW(PaymentSchedule[[#Headers],[BEGINNING BALANCE]])=1,LoanAmount,INDEX([ENDING BALANCE],ROW()-ROW(PaymentSchedule[[#Headers],[BEGINNING BALANCE]])-1)),"")</f>
        <v>108392.99606297072</v>
      </c>
      <c r="E85" s="7">
        <f>IF(PaymentSchedule[[#This Row],[PMT NO]]&lt;&gt;"",ScheduledPayment,"")</f>
        <v>608.02237179106271</v>
      </c>
      <c r="F8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8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85" s="7">
        <f>IF(PaymentSchedule[[#This Row],[PMT NO]]&lt;&gt;"",PaymentSchedule[[#This Row],[TOTAL PAYMENT]]-PaymentSchedule[[#This Row],[INTEREST]],"")</f>
        <v>201.54863655492255</v>
      </c>
      <c r="I85" s="7">
        <f>IF(PaymentSchedule[[#This Row],[PMT NO]]&lt;&gt;"",PaymentSchedule[[#This Row],[BEGINNING BALANCE]]*(InterestRate/PaymentsPerYear),"")</f>
        <v>406.47373523614016</v>
      </c>
      <c r="J85" s="7">
        <f>IF(PaymentSchedule[[#This Row],[PMT NO]]&lt;&gt;"",IF(PaymentSchedule[[#This Row],[SCHEDULED PAYMENT]]+PaymentSchedule[[#This Row],[EXTRA PAYMENT]]&lt;=PaymentSchedule[[#This Row],[BEGINNING BALANCE]],PaymentSchedule[[#This Row],[BEGINNING BALANCE]]-PaymentSchedule[[#This Row],[PRINCIPAL]],0),"")</f>
        <v>108191.44742641579</v>
      </c>
      <c r="K85" s="7">
        <f>IF(PaymentSchedule[[#This Row],[PMT NO]]&lt;&gt;"",SUM(INDEX([INTEREST],1,1):PaymentSchedule[[#This Row],[INTEREST]]),"")</f>
        <v>28320.923964625908</v>
      </c>
    </row>
    <row r="86" spans="2:11">
      <c r="B86" s="4">
        <f>IF(LoanIsGood,IF(ROW()-ROW(PaymentSchedule[[#Headers],[PMT NO]])&gt;ScheduledNumberOfPayments,"",ROW()-ROW(PaymentSchedule[[#Headers],[PMT NO]])),"")</f>
        <v>67</v>
      </c>
      <c r="C86" s="5">
        <f>IF(PaymentSchedule[[#This Row],[PMT NO]]&lt;&gt;"",EOMONTH(LoanStartDate,ROW(PaymentSchedule[[#This Row],[PMT NO]])-ROW(PaymentSchedule[[#Headers],[PMT NO]])-2)+DAY(LoanStartDate),"")</f>
        <v>46082</v>
      </c>
      <c r="D86" s="7">
        <f>IF(PaymentSchedule[[#This Row],[PMT NO]]&lt;&gt;"",IF(ROW()-ROW(PaymentSchedule[[#Headers],[BEGINNING BALANCE]])=1,LoanAmount,INDEX([ENDING BALANCE],ROW()-ROW(PaymentSchedule[[#Headers],[BEGINNING BALANCE]])-1)),"")</f>
        <v>108191.44742641579</v>
      </c>
      <c r="E86" s="7">
        <f>IF(PaymentSchedule[[#This Row],[PMT NO]]&lt;&gt;"",ScheduledPayment,"")</f>
        <v>608.02237179106271</v>
      </c>
      <c r="F8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8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86" s="7">
        <f>IF(PaymentSchedule[[#This Row],[PMT NO]]&lt;&gt;"",PaymentSchedule[[#This Row],[TOTAL PAYMENT]]-PaymentSchedule[[#This Row],[INTEREST]],"")</f>
        <v>202.3044439420035</v>
      </c>
      <c r="I86" s="7">
        <f>IF(PaymentSchedule[[#This Row],[PMT NO]]&lt;&gt;"",PaymentSchedule[[#This Row],[BEGINNING BALANCE]]*(InterestRate/PaymentsPerYear),"")</f>
        <v>405.71792784905921</v>
      </c>
      <c r="J86" s="7">
        <f>IF(PaymentSchedule[[#This Row],[PMT NO]]&lt;&gt;"",IF(PaymentSchedule[[#This Row],[SCHEDULED PAYMENT]]+PaymentSchedule[[#This Row],[EXTRA PAYMENT]]&lt;=PaymentSchedule[[#This Row],[BEGINNING BALANCE]],PaymentSchedule[[#This Row],[BEGINNING BALANCE]]-PaymentSchedule[[#This Row],[PRINCIPAL]],0),"")</f>
        <v>107989.14298247379</v>
      </c>
      <c r="K86" s="7">
        <f>IF(PaymentSchedule[[#This Row],[PMT NO]]&lt;&gt;"",SUM(INDEX([INTEREST],1,1):PaymentSchedule[[#This Row],[INTEREST]]),"")</f>
        <v>28726.641892474967</v>
      </c>
    </row>
    <row r="87" spans="2:11">
      <c r="B87" s="4">
        <f>IF(LoanIsGood,IF(ROW()-ROW(PaymentSchedule[[#Headers],[PMT NO]])&gt;ScheduledNumberOfPayments,"",ROW()-ROW(PaymentSchedule[[#Headers],[PMT NO]])),"")</f>
        <v>68</v>
      </c>
      <c r="C87" s="5">
        <f>IF(PaymentSchedule[[#This Row],[PMT NO]]&lt;&gt;"",EOMONTH(LoanStartDate,ROW(PaymentSchedule[[#This Row],[PMT NO]])-ROW(PaymentSchedule[[#Headers],[PMT NO]])-2)+DAY(LoanStartDate),"")</f>
        <v>46113</v>
      </c>
      <c r="D87" s="7">
        <f>IF(PaymentSchedule[[#This Row],[PMT NO]]&lt;&gt;"",IF(ROW()-ROW(PaymentSchedule[[#Headers],[BEGINNING BALANCE]])=1,LoanAmount,INDEX([ENDING BALANCE],ROW()-ROW(PaymentSchedule[[#Headers],[BEGINNING BALANCE]])-1)),"")</f>
        <v>107989.14298247379</v>
      </c>
      <c r="E87" s="7">
        <f>IF(PaymentSchedule[[#This Row],[PMT NO]]&lt;&gt;"",ScheduledPayment,"")</f>
        <v>608.02237179106271</v>
      </c>
      <c r="F8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8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87" s="7">
        <f>IF(PaymentSchedule[[#This Row],[PMT NO]]&lt;&gt;"",PaymentSchedule[[#This Row],[TOTAL PAYMENT]]-PaymentSchedule[[#This Row],[INTEREST]],"")</f>
        <v>203.06308560678605</v>
      </c>
      <c r="I87" s="7">
        <f>IF(PaymentSchedule[[#This Row],[PMT NO]]&lt;&gt;"",PaymentSchedule[[#This Row],[BEGINNING BALANCE]]*(InterestRate/PaymentsPerYear),"")</f>
        <v>404.95928618427666</v>
      </c>
      <c r="J87" s="7">
        <f>IF(PaymentSchedule[[#This Row],[PMT NO]]&lt;&gt;"",IF(PaymentSchedule[[#This Row],[SCHEDULED PAYMENT]]+PaymentSchedule[[#This Row],[EXTRA PAYMENT]]&lt;=PaymentSchedule[[#This Row],[BEGINNING BALANCE]],PaymentSchedule[[#This Row],[BEGINNING BALANCE]]-PaymentSchedule[[#This Row],[PRINCIPAL]],0),"")</f>
        <v>107786.079896867</v>
      </c>
      <c r="K87" s="7">
        <f>IF(PaymentSchedule[[#This Row],[PMT NO]]&lt;&gt;"",SUM(INDEX([INTEREST],1,1):PaymentSchedule[[#This Row],[INTEREST]]),"")</f>
        <v>29131.601178659243</v>
      </c>
    </row>
    <row r="88" spans="2:11">
      <c r="B88" s="4">
        <f>IF(LoanIsGood,IF(ROW()-ROW(PaymentSchedule[[#Headers],[PMT NO]])&gt;ScheduledNumberOfPayments,"",ROW()-ROW(PaymentSchedule[[#Headers],[PMT NO]])),"")</f>
        <v>69</v>
      </c>
      <c r="C88" s="5">
        <f>IF(PaymentSchedule[[#This Row],[PMT NO]]&lt;&gt;"",EOMONTH(LoanStartDate,ROW(PaymentSchedule[[#This Row],[PMT NO]])-ROW(PaymentSchedule[[#Headers],[PMT NO]])-2)+DAY(LoanStartDate),"")</f>
        <v>46143</v>
      </c>
      <c r="D88" s="7">
        <f>IF(PaymentSchedule[[#This Row],[PMT NO]]&lt;&gt;"",IF(ROW()-ROW(PaymentSchedule[[#Headers],[BEGINNING BALANCE]])=1,LoanAmount,INDEX([ENDING BALANCE],ROW()-ROW(PaymentSchedule[[#Headers],[BEGINNING BALANCE]])-1)),"")</f>
        <v>107786.079896867</v>
      </c>
      <c r="E88" s="7">
        <f>IF(PaymentSchedule[[#This Row],[PMT NO]]&lt;&gt;"",ScheduledPayment,"")</f>
        <v>608.02237179106271</v>
      </c>
      <c r="F8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8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88" s="7">
        <f>IF(PaymentSchedule[[#This Row],[PMT NO]]&lt;&gt;"",PaymentSchedule[[#This Row],[TOTAL PAYMENT]]-PaymentSchedule[[#This Row],[INTEREST]],"")</f>
        <v>203.82457217781149</v>
      </c>
      <c r="I88" s="7">
        <f>IF(PaymentSchedule[[#This Row],[PMT NO]]&lt;&gt;"",PaymentSchedule[[#This Row],[BEGINNING BALANCE]]*(InterestRate/PaymentsPerYear),"")</f>
        <v>404.19779961325122</v>
      </c>
      <c r="J88" s="7">
        <f>IF(PaymentSchedule[[#This Row],[PMT NO]]&lt;&gt;"",IF(PaymentSchedule[[#This Row],[SCHEDULED PAYMENT]]+PaymentSchedule[[#This Row],[EXTRA PAYMENT]]&lt;=PaymentSchedule[[#This Row],[BEGINNING BALANCE]],PaymentSchedule[[#This Row],[BEGINNING BALANCE]]-PaymentSchedule[[#This Row],[PRINCIPAL]],0),"")</f>
        <v>107582.25532468919</v>
      </c>
      <c r="K88" s="7">
        <f>IF(PaymentSchedule[[#This Row],[PMT NO]]&lt;&gt;"",SUM(INDEX([INTEREST],1,1):PaymentSchedule[[#This Row],[INTEREST]]),"")</f>
        <v>29535.798978272494</v>
      </c>
    </row>
    <row r="89" spans="2:11">
      <c r="B89" s="4">
        <f>IF(LoanIsGood,IF(ROW()-ROW(PaymentSchedule[[#Headers],[PMT NO]])&gt;ScheduledNumberOfPayments,"",ROW()-ROW(PaymentSchedule[[#Headers],[PMT NO]])),"")</f>
        <v>70</v>
      </c>
      <c r="C89" s="5">
        <f>IF(PaymentSchedule[[#This Row],[PMT NO]]&lt;&gt;"",EOMONTH(LoanStartDate,ROW(PaymentSchedule[[#This Row],[PMT NO]])-ROW(PaymentSchedule[[#Headers],[PMT NO]])-2)+DAY(LoanStartDate),"")</f>
        <v>46174</v>
      </c>
      <c r="D89" s="7">
        <f>IF(PaymentSchedule[[#This Row],[PMT NO]]&lt;&gt;"",IF(ROW()-ROW(PaymentSchedule[[#Headers],[BEGINNING BALANCE]])=1,LoanAmount,INDEX([ENDING BALANCE],ROW()-ROW(PaymentSchedule[[#Headers],[BEGINNING BALANCE]])-1)),"")</f>
        <v>107582.25532468919</v>
      </c>
      <c r="E89" s="7">
        <f>IF(PaymentSchedule[[#This Row],[PMT NO]]&lt;&gt;"",ScheduledPayment,"")</f>
        <v>608.02237179106271</v>
      </c>
      <c r="F8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8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89" s="7">
        <f>IF(PaymentSchedule[[#This Row],[PMT NO]]&lt;&gt;"",PaymentSchedule[[#This Row],[TOTAL PAYMENT]]-PaymentSchedule[[#This Row],[INTEREST]],"")</f>
        <v>204.58891432347826</v>
      </c>
      <c r="I89" s="7">
        <f>IF(PaymentSchedule[[#This Row],[PMT NO]]&lt;&gt;"",PaymentSchedule[[#This Row],[BEGINNING BALANCE]]*(InterestRate/PaymentsPerYear),"")</f>
        <v>403.43345746758445</v>
      </c>
      <c r="J89" s="7">
        <f>IF(PaymentSchedule[[#This Row],[PMT NO]]&lt;&gt;"",IF(PaymentSchedule[[#This Row],[SCHEDULED PAYMENT]]+PaymentSchedule[[#This Row],[EXTRA PAYMENT]]&lt;=PaymentSchedule[[#This Row],[BEGINNING BALANCE]],PaymentSchedule[[#This Row],[BEGINNING BALANCE]]-PaymentSchedule[[#This Row],[PRINCIPAL]],0),"")</f>
        <v>107377.66641036571</v>
      </c>
      <c r="K89" s="7">
        <f>IF(PaymentSchedule[[#This Row],[PMT NO]]&lt;&gt;"",SUM(INDEX([INTEREST],1,1):PaymentSchedule[[#This Row],[INTEREST]]),"")</f>
        <v>29939.232435740079</v>
      </c>
    </row>
    <row r="90" spans="2:11">
      <c r="B90" s="4">
        <f>IF(LoanIsGood,IF(ROW()-ROW(PaymentSchedule[[#Headers],[PMT NO]])&gt;ScheduledNumberOfPayments,"",ROW()-ROW(PaymentSchedule[[#Headers],[PMT NO]])),"")</f>
        <v>71</v>
      </c>
      <c r="C90" s="5">
        <f>IF(PaymentSchedule[[#This Row],[PMT NO]]&lt;&gt;"",EOMONTH(LoanStartDate,ROW(PaymentSchedule[[#This Row],[PMT NO]])-ROW(PaymentSchedule[[#Headers],[PMT NO]])-2)+DAY(LoanStartDate),"")</f>
        <v>46204</v>
      </c>
      <c r="D90" s="7">
        <f>IF(PaymentSchedule[[#This Row],[PMT NO]]&lt;&gt;"",IF(ROW()-ROW(PaymentSchedule[[#Headers],[BEGINNING BALANCE]])=1,LoanAmount,INDEX([ENDING BALANCE],ROW()-ROW(PaymentSchedule[[#Headers],[BEGINNING BALANCE]])-1)),"")</f>
        <v>107377.66641036571</v>
      </c>
      <c r="E90" s="7">
        <f>IF(PaymentSchedule[[#This Row],[PMT NO]]&lt;&gt;"",ScheduledPayment,"")</f>
        <v>608.02237179106271</v>
      </c>
      <c r="F9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9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90" s="7">
        <f>IF(PaymentSchedule[[#This Row],[PMT NO]]&lt;&gt;"",PaymentSchedule[[#This Row],[TOTAL PAYMENT]]-PaymentSchedule[[#This Row],[INTEREST]],"")</f>
        <v>205.35612275219131</v>
      </c>
      <c r="I90" s="7">
        <f>IF(PaymentSchedule[[#This Row],[PMT NO]]&lt;&gt;"",PaymentSchedule[[#This Row],[BEGINNING BALANCE]]*(InterestRate/PaymentsPerYear),"")</f>
        <v>402.6662490388714</v>
      </c>
      <c r="J90" s="7">
        <f>IF(PaymentSchedule[[#This Row],[PMT NO]]&lt;&gt;"",IF(PaymentSchedule[[#This Row],[SCHEDULED PAYMENT]]+PaymentSchedule[[#This Row],[EXTRA PAYMENT]]&lt;=PaymentSchedule[[#This Row],[BEGINNING BALANCE]],PaymentSchedule[[#This Row],[BEGINNING BALANCE]]-PaymentSchedule[[#This Row],[PRINCIPAL]],0),"")</f>
        <v>107172.31028761352</v>
      </c>
      <c r="K90" s="7">
        <f>IF(PaymentSchedule[[#This Row],[PMT NO]]&lt;&gt;"",SUM(INDEX([INTEREST],1,1):PaymentSchedule[[#This Row],[INTEREST]]),"")</f>
        <v>30341.898684778949</v>
      </c>
    </row>
    <row r="91" spans="2:11">
      <c r="B91" s="4">
        <f>IF(LoanIsGood,IF(ROW()-ROW(PaymentSchedule[[#Headers],[PMT NO]])&gt;ScheduledNumberOfPayments,"",ROW()-ROW(PaymentSchedule[[#Headers],[PMT NO]])),"")</f>
        <v>72</v>
      </c>
      <c r="C91" s="5">
        <f>IF(PaymentSchedule[[#This Row],[PMT NO]]&lt;&gt;"",EOMONTH(LoanStartDate,ROW(PaymentSchedule[[#This Row],[PMT NO]])-ROW(PaymentSchedule[[#Headers],[PMT NO]])-2)+DAY(LoanStartDate),"")</f>
        <v>46235</v>
      </c>
      <c r="D91" s="7">
        <f>IF(PaymentSchedule[[#This Row],[PMT NO]]&lt;&gt;"",IF(ROW()-ROW(PaymentSchedule[[#Headers],[BEGINNING BALANCE]])=1,LoanAmount,INDEX([ENDING BALANCE],ROW()-ROW(PaymentSchedule[[#Headers],[BEGINNING BALANCE]])-1)),"")</f>
        <v>107172.31028761352</v>
      </c>
      <c r="E91" s="7">
        <f>IF(PaymentSchedule[[#This Row],[PMT NO]]&lt;&gt;"",ScheduledPayment,"")</f>
        <v>608.02237179106271</v>
      </c>
      <c r="F9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9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91" s="7">
        <f>IF(PaymentSchedule[[#This Row],[PMT NO]]&lt;&gt;"",PaymentSchedule[[#This Row],[TOTAL PAYMENT]]-PaymentSchedule[[#This Row],[INTEREST]],"")</f>
        <v>206.12620821251204</v>
      </c>
      <c r="I91" s="7">
        <f>IF(PaymentSchedule[[#This Row],[PMT NO]]&lt;&gt;"",PaymentSchedule[[#This Row],[BEGINNING BALANCE]]*(InterestRate/PaymentsPerYear),"")</f>
        <v>401.89616357855067</v>
      </c>
      <c r="J91" s="7">
        <f>IF(PaymentSchedule[[#This Row],[PMT NO]]&lt;&gt;"",IF(PaymentSchedule[[#This Row],[SCHEDULED PAYMENT]]+PaymentSchedule[[#This Row],[EXTRA PAYMENT]]&lt;=PaymentSchedule[[#This Row],[BEGINNING BALANCE]],PaymentSchedule[[#This Row],[BEGINNING BALANCE]]-PaymentSchedule[[#This Row],[PRINCIPAL]],0),"")</f>
        <v>106966.18407940101</v>
      </c>
      <c r="K91" s="7">
        <f>IF(PaymentSchedule[[#This Row],[PMT NO]]&lt;&gt;"",SUM(INDEX([INTEREST],1,1):PaymentSchedule[[#This Row],[INTEREST]]),"")</f>
        <v>30743.794848357498</v>
      </c>
    </row>
    <row r="92" spans="2:11">
      <c r="B92" s="4">
        <f>IF(LoanIsGood,IF(ROW()-ROW(PaymentSchedule[[#Headers],[PMT NO]])&gt;ScheduledNumberOfPayments,"",ROW()-ROW(PaymentSchedule[[#Headers],[PMT NO]])),"")</f>
        <v>73</v>
      </c>
      <c r="C92" s="5">
        <f>IF(PaymentSchedule[[#This Row],[PMT NO]]&lt;&gt;"",EOMONTH(LoanStartDate,ROW(PaymentSchedule[[#This Row],[PMT NO]])-ROW(PaymentSchedule[[#Headers],[PMT NO]])-2)+DAY(LoanStartDate),"")</f>
        <v>46266</v>
      </c>
      <c r="D92" s="7">
        <f>IF(PaymentSchedule[[#This Row],[PMT NO]]&lt;&gt;"",IF(ROW()-ROW(PaymentSchedule[[#Headers],[BEGINNING BALANCE]])=1,LoanAmount,INDEX([ENDING BALANCE],ROW()-ROW(PaymentSchedule[[#Headers],[BEGINNING BALANCE]])-1)),"")</f>
        <v>106966.18407940101</v>
      </c>
      <c r="E92" s="7">
        <f>IF(PaymentSchedule[[#This Row],[PMT NO]]&lt;&gt;"",ScheduledPayment,"")</f>
        <v>608.02237179106271</v>
      </c>
      <c r="F9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9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92" s="7">
        <f>IF(PaymentSchedule[[#This Row],[PMT NO]]&lt;&gt;"",PaymentSchedule[[#This Row],[TOTAL PAYMENT]]-PaymentSchedule[[#This Row],[INTEREST]],"")</f>
        <v>206.89918149330896</v>
      </c>
      <c r="I92" s="7">
        <f>IF(PaymentSchedule[[#This Row],[PMT NO]]&lt;&gt;"",PaymentSchedule[[#This Row],[BEGINNING BALANCE]]*(InterestRate/PaymentsPerYear),"")</f>
        <v>401.12319029775375</v>
      </c>
      <c r="J92" s="7">
        <f>IF(PaymentSchedule[[#This Row],[PMT NO]]&lt;&gt;"",IF(PaymentSchedule[[#This Row],[SCHEDULED PAYMENT]]+PaymentSchedule[[#This Row],[EXTRA PAYMENT]]&lt;=PaymentSchedule[[#This Row],[BEGINNING BALANCE]],PaymentSchedule[[#This Row],[BEGINNING BALANCE]]-PaymentSchedule[[#This Row],[PRINCIPAL]],0),"")</f>
        <v>106759.2848979077</v>
      </c>
      <c r="K92" s="7">
        <f>IF(PaymentSchedule[[#This Row],[PMT NO]]&lt;&gt;"",SUM(INDEX([INTEREST],1,1):PaymentSchedule[[#This Row],[INTEREST]]),"")</f>
        <v>31144.918038655251</v>
      </c>
    </row>
    <row r="93" spans="2:11">
      <c r="B93" s="4">
        <f>IF(LoanIsGood,IF(ROW()-ROW(PaymentSchedule[[#Headers],[PMT NO]])&gt;ScheduledNumberOfPayments,"",ROW()-ROW(PaymentSchedule[[#Headers],[PMT NO]])),"")</f>
        <v>74</v>
      </c>
      <c r="C93" s="5">
        <f>IF(PaymentSchedule[[#This Row],[PMT NO]]&lt;&gt;"",EOMONTH(LoanStartDate,ROW(PaymentSchedule[[#This Row],[PMT NO]])-ROW(PaymentSchedule[[#Headers],[PMT NO]])-2)+DAY(LoanStartDate),"")</f>
        <v>46296</v>
      </c>
      <c r="D93" s="7">
        <f>IF(PaymentSchedule[[#This Row],[PMT NO]]&lt;&gt;"",IF(ROW()-ROW(PaymentSchedule[[#Headers],[BEGINNING BALANCE]])=1,LoanAmount,INDEX([ENDING BALANCE],ROW()-ROW(PaymentSchedule[[#Headers],[BEGINNING BALANCE]])-1)),"")</f>
        <v>106759.2848979077</v>
      </c>
      <c r="E93" s="7">
        <f>IF(PaymentSchedule[[#This Row],[PMT NO]]&lt;&gt;"",ScheduledPayment,"")</f>
        <v>608.02237179106271</v>
      </c>
      <c r="F9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9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93" s="7">
        <f>IF(PaymentSchedule[[#This Row],[PMT NO]]&lt;&gt;"",PaymentSchedule[[#This Row],[TOTAL PAYMENT]]-PaymentSchedule[[#This Row],[INTEREST]],"")</f>
        <v>207.67505342390888</v>
      </c>
      <c r="I93" s="7">
        <f>IF(PaymentSchedule[[#This Row],[PMT NO]]&lt;&gt;"",PaymentSchedule[[#This Row],[BEGINNING BALANCE]]*(InterestRate/PaymentsPerYear),"")</f>
        <v>400.34731836715383</v>
      </c>
      <c r="J93" s="7">
        <f>IF(PaymentSchedule[[#This Row],[PMT NO]]&lt;&gt;"",IF(PaymentSchedule[[#This Row],[SCHEDULED PAYMENT]]+PaymentSchedule[[#This Row],[EXTRA PAYMENT]]&lt;=PaymentSchedule[[#This Row],[BEGINNING BALANCE]],PaymentSchedule[[#This Row],[BEGINNING BALANCE]]-PaymentSchedule[[#This Row],[PRINCIPAL]],0),"")</f>
        <v>106551.60984448378</v>
      </c>
      <c r="K93" s="7">
        <f>IF(PaymentSchedule[[#This Row],[PMT NO]]&lt;&gt;"",SUM(INDEX([INTEREST],1,1):PaymentSchedule[[#This Row],[INTEREST]]),"")</f>
        <v>31545.265357022403</v>
      </c>
    </row>
    <row r="94" spans="2:11">
      <c r="B94" s="4">
        <f>IF(LoanIsGood,IF(ROW()-ROW(PaymentSchedule[[#Headers],[PMT NO]])&gt;ScheduledNumberOfPayments,"",ROW()-ROW(PaymentSchedule[[#Headers],[PMT NO]])),"")</f>
        <v>75</v>
      </c>
      <c r="C94" s="5">
        <f>IF(PaymentSchedule[[#This Row],[PMT NO]]&lt;&gt;"",EOMONTH(LoanStartDate,ROW(PaymentSchedule[[#This Row],[PMT NO]])-ROW(PaymentSchedule[[#Headers],[PMT NO]])-2)+DAY(LoanStartDate),"")</f>
        <v>46327</v>
      </c>
      <c r="D94" s="7">
        <f>IF(PaymentSchedule[[#This Row],[PMT NO]]&lt;&gt;"",IF(ROW()-ROW(PaymentSchedule[[#Headers],[BEGINNING BALANCE]])=1,LoanAmount,INDEX([ENDING BALANCE],ROW()-ROW(PaymentSchedule[[#Headers],[BEGINNING BALANCE]])-1)),"")</f>
        <v>106551.60984448378</v>
      </c>
      <c r="E94" s="7">
        <f>IF(PaymentSchedule[[#This Row],[PMT NO]]&lt;&gt;"",ScheduledPayment,"")</f>
        <v>608.02237179106271</v>
      </c>
      <c r="F9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9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94" s="7">
        <f>IF(PaymentSchedule[[#This Row],[PMT NO]]&lt;&gt;"",PaymentSchedule[[#This Row],[TOTAL PAYMENT]]-PaymentSchedule[[#This Row],[INTEREST]],"")</f>
        <v>208.45383487424851</v>
      </c>
      <c r="I94" s="7">
        <f>IF(PaymentSchedule[[#This Row],[PMT NO]]&lt;&gt;"",PaymentSchedule[[#This Row],[BEGINNING BALANCE]]*(InterestRate/PaymentsPerYear),"")</f>
        <v>399.5685369168142</v>
      </c>
      <c r="J94" s="7">
        <f>IF(PaymentSchedule[[#This Row],[PMT NO]]&lt;&gt;"",IF(PaymentSchedule[[#This Row],[SCHEDULED PAYMENT]]+PaymentSchedule[[#This Row],[EXTRA PAYMENT]]&lt;=PaymentSchedule[[#This Row],[BEGINNING BALANCE]],PaymentSchedule[[#This Row],[BEGINNING BALANCE]]-PaymentSchedule[[#This Row],[PRINCIPAL]],0),"")</f>
        <v>106343.15600960953</v>
      </c>
      <c r="K94" s="7">
        <f>IF(PaymentSchedule[[#This Row],[PMT NO]]&lt;&gt;"",SUM(INDEX([INTEREST],1,1):PaymentSchedule[[#This Row],[INTEREST]]),"")</f>
        <v>31944.833893939216</v>
      </c>
    </row>
    <row r="95" spans="2:11">
      <c r="B95" s="4">
        <f>IF(LoanIsGood,IF(ROW()-ROW(PaymentSchedule[[#Headers],[PMT NO]])&gt;ScheduledNumberOfPayments,"",ROW()-ROW(PaymentSchedule[[#Headers],[PMT NO]])),"")</f>
        <v>76</v>
      </c>
      <c r="C95" s="5">
        <f>IF(PaymentSchedule[[#This Row],[PMT NO]]&lt;&gt;"",EOMONTH(LoanStartDate,ROW(PaymentSchedule[[#This Row],[PMT NO]])-ROW(PaymentSchedule[[#Headers],[PMT NO]])-2)+DAY(LoanStartDate),"")</f>
        <v>46357</v>
      </c>
      <c r="D95" s="7">
        <f>IF(PaymentSchedule[[#This Row],[PMT NO]]&lt;&gt;"",IF(ROW()-ROW(PaymentSchedule[[#Headers],[BEGINNING BALANCE]])=1,LoanAmount,INDEX([ENDING BALANCE],ROW()-ROW(PaymentSchedule[[#Headers],[BEGINNING BALANCE]])-1)),"")</f>
        <v>106343.15600960953</v>
      </c>
      <c r="E95" s="7">
        <f>IF(PaymentSchedule[[#This Row],[PMT NO]]&lt;&gt;"",ScheduledPayment,"")</f>
        <v>608.02237179106271</v>
      </c>
      <c r="F9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9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95" s="7">
        <f>IF(PaymentSchedule[[#This Row],[PMT NO]]&lt;&gt;"",PaymentSchedule[[#This Row],[TOTAL PAYMENT]]-PaymentSchedule[[#This Row],[INTEREST]],"")</f>
        <v>209.23553675502694</v>
      </c>
      <c r="I95" s="7">
        <f>IF(PaymentSchedule[[#This Row],[PMT NO]]&lt;&gt;"",PaymentSchedule[[#This Row],[BEGINNING BALANCE]]*(InterestRate/PaymentsPerYear),"")</f>
        <v>398.78683503603577</v>
      </c>
      <c r="J95" s="7">
        <f>IF(PaymentSchedule[[#This Row],[PMT NO]]&lt;&gt;"",IF(PaymentSchedule[[#This Row],[SCHEDULED PAYMENT]]+PaymentSchedule[[#This Row],[EXTRA PAYMENT]]&lt;=PaymentSchedule[[#This Row],[BEGINNING BALANCE]],PaymentSchedule[[#This Row],[BEGINNING BALANCE]]-PaymentSchedule[[#This Row],[PRINCIPAL]],0),"")</f>
        <v>106133.9204728545</v>
      </c>
      <c r="K95" s="7">
        <f>IF(PaymentSchedule[[#This Row],[PMT NO]]&lt;&gt;"",SUM(INDEX([INTEREST],1,1):PaymentSchedule[[#This Row],[INTEREST]]),"")</f>
        <v>32343.620728975253</v>
      </c>
    </row>
    <row r="96" spans="2:11">
      <c r="B96" s="4">
        <f>IF(LoanIsGood,IF(ROW()-ROW(PaymentSchedule[[#Headers],[PMT NO]])&gt;ScheduledNumberOfPayments,"",ROW()-ROW(PaymentSchedule[[#Headers],[PMT NO]])),"")</f>
        <v>77</v>
      </c>
      <c r="C96" s="5">
        <f>IF(PaymentSchedule[[#This Row],[PMT NO]]&lt;&gt;"",EOMONTH(LoanStartDate,ROW(PaymentSchedule[[#This Row],[PMT NO]])-ROW(PaymentSchedule[[#Headers],[PMT NO]])-2)+DAY(LoanStartDate),"")</f>
        <v>46388</v>
      </c>
      <c r="D96" s="7">
        <f>IF(PaymentSchedule[[#This Row],[PMT NO]]&lt;&gt;"",IF(ROW()-ROW(PaymentSchedule[[#Headers],[BEGINNING BALANCE]])=1,LoanAmount,INDEX([ENDING BALANCE],ROW()-ROW(PaymentSchedule[[#Headers],[BEGINNING BALANCE]])-1)),"")</f>
        <v>106133.9204728545</v>
      </c>
      <c r="E96" s="7">
        <f>IF(PaymentSchedule[[#This Row],[PMT NO]]&lt;&gt;"",ScheduledPayment,"")</f>
        <v>608.02237179106271</v>
      </c>
      <c r="F9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9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96" s="7">
        <f>IF(PaymentSchedule[[#This Row],[PMT NO]]&lt;&gt;"",PaymentSchedule[[#This Row],[TOTAL PAYMENT]]-PaymentSchedule[[#This Row],[INTEREST]],"")</f>
        <v>210.02017001785833</v>
      </c>
      <c r="I96" s="7">
        <f>IF(PaymentSchedule[[#This Row],[PMT NO]]&lt;&gt;"",PaymentSchedule[[#This Row],[BEGINNING BALANCE]]*(InterestRate/PaymentsPerYear),"")</f>
        <v>398.00220177320438</v>
      </c>
      <c r="J96" s="7">
        <f>IF(PaymentSchedule[[#This Row],[PMT NO]]&lt;&gt;"",IF(PaymentSchedule[[#This Row],[SCHEDULED PAYMENT]]+PaymentSchedule[[#This Row],[EXTRA PAYMENT]]&lt;=PaymentSchedule[[#This Row],[BEGINNING BALANCE]],PaymentSchedule[[#This Row],[BEGINNING BALANCE]]-PaymentSchedule[[#This Row],[PRINCIPAL]],0),"")</f>
        <v>105923.90030283664</v>
      </c>
      <c r="K96" s="7">
        <f>IF(PaymentSchedule[[#This Row],[PMT NO]]&lt;&gt;"",SUM(INDEX([INTEREST],1,1):PaymentSchedule[[#This Row],[INTEREST]]),"")</f>
        <v>32741.622930748457</v>
      </c>
    </row>
    <row r="97" spans="2:11">
      <c r="B97" s="4">
        <f>IF(LoanIsGood,IF(ROW()-ROW(PaymentSchedule[[#Headers],[PMT NO]])&gt;ScheduledNumberOfPayments,"",ROW()-ROW(PaymentSchedule[[#Headers],[PMT NO]])),"")</f>
        <v>78</v>
      </c>
      <c r="C97" s="5">
        <f>IF(PaymentSchedule[[#This Row],[PMT NO]]&lt;&gt;"",EOMONTH(LoanStartDate,ROW(PaymentSchedule[[#This Row],[PMT NO]])-ROW(PaymentSchedule[[#Headers],[PMT NO]])-2)+DAY(LoanStartDate),"")</f>
        <v>46419</v>
      </c>
      <c r="D97" s="7">
        <f>IF(PaymentSchedule[[#This Row],[PMT NO]]&lt;&gt;"",IF(ROW()-ROW(PaymentSchedule[[#Headers],[BEGINNING BALANCE]])=1,LoanAmount,INDEX([ENDING BALANCE],ROW()-ROW(PaymentSchedule[[#Headers],[BEGINNING BALANCE]])-1)),"")</f>
        <v>105923.90030283664</v>
      </c>
      <c r="E97" s="7">
        <f>IF(PaymentSchedule[[#This Row],[PMT NO]]&lt;&gt;"",ScheduledPayment,"")</f>
        <v>608.02237179106271</v>
      </c>
      <c r="F9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9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97" s="7">
        <f>IF(PaymentSchedule[[#This Row],[PMT NO]]&lt;&gt;"",PaymentSchedule[[#This Row],[TOTAL PAYMENT]]-PaymentSchedule[[#This Row],[INTEREST]],"")</f>
        <v>210.80774565542532</v>
      </c>
      <c r="I97" s="7">
        <f>IF(PaymentSchedule[[#This Row],[PMT NO]]&lt;&gt;"",PaymentSchedule[[#This Row],[BEGINNING BALANCE]]*(InterestRate/PaymentsPerYear),"")</f>
        <v>397.21462613563739</v>
      </c>
      <c r="J97" s="7">
        <f>IF(PaymentSchedule[[#This Row],[PMT NO]]&lt;&gt;"",IF(PaymentSchedule[[#This Row],[SCHEDULED PAYMENT]]+PaymentSchedule[[#This Row],[EXTRA PAYMENT]]&lt;=PaymentSchedule[[#This Row],[BEGINNING BALANCE]],PaymentSchedule[[#This Row],[BEGINNING BALANCE]]-PaymentSchedule[[#This Row],[PRINCIPAL]],0),"")</f>
        <v>105713.09255718121</v>
      </c>
      <c r="K97" s="7">
        <f>IF(PaymentSchedule[[#This Row],[PMT NO]]&lt;&gt;"",SUM(INDEX([INTEREST],1,1):PaymentSchedule[[#This Row],[INTEREST]]),"")</f>
        <v>33138.837556884093</v>
      </c>
    </row>
    <row r="98" spans="2:11">
      <c r="B98" s="4">
        <f>IF(LoanIsGood,IF(ROW()-ROW(PaymentSchedule[[#Headers],[PMT NO]])&gt;ScheduledNumberOfPayments,"",ROW()-ROW(PaymentSchedule[[#Headers],[PMT NO]])),"")</f>
        <v>79</v>
      </c>
      <c r="C98" s="5">
        <f>IF(PaymentSchedule[[#This Row],[PMT NO]]&lt;&gt;"",EOMONTH(LoanStartDate,ROW(PaymentSchedule[[#This Row],[PMT NO]])-ROW(PaymentSchedule[[#Headers],[PMT NO]])-2)+DAY(LoanStartDate),"")</f>
        <v>46447</v>
      </c>
      <c r="D98" s="7">
        <f>IF(PaymentSchedule[[#This Row],[PMT NO]]&lt;&gt;"",IF(ROW()-ROW(PaymentSchedule[[#Headers],[BEGINNING BALANCE]])=1,LoanAmount,INDEX([ENDING BALANCE],ROW()-ROW(PaymentSchedule[[#Headers],[BEGINNING BALANCE]])-1)),"")</f>
        <v>105713.09255718121</v>
      </c>
      <c r="E98" s="7">
        <f>IF(PaymentSchedule[[#This Row],[PMT NO]]&lt;&gt;"",ScheduledPayment,"")</f>
        <v>608.02237179106271</v>
      </c>
      <c r="F9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9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98" s="7">
        <f>IF(PaymentSchedule[[#This Row],[PMT NO]]&lt;&gt;"",PaymentSchedule[[#This Row],[TOTAL PAYMENT]]-PaymentSchedule[[#This Row],[INTEREST]],"")</f>
        <v>211.59827470163316</v>
      </c>
      <c r="I98" s="7">
        <f>IF(PaymentSchedule[[#This Row],[PMT NO]]&lt;&gt;"",PaymentSchedule[[#This Row],[BEGINNING BALANCE]]*(InterestRate/PaymentsPerYear),"")</f>
        <v>396.42409708942955</v>
      </c>
      <c r="J98" s="7">
        <f>IF(PaymentSchedule[[#This Row],[PMT NO]]&lt;&gt;"",IF(PaymentSchedule[[#This Row],[SCHEDULED PAYMENT]]+PaymentSchedule[[#This Row],[EXTRA PAYMENT]]&lt;=PaymentSchedule[[#This Row],[BEGINNING BALANCE]],PaymentSchedule[[#This Row],[BEGINNING BALANCE]]-PaymentSchedule[[#This Row],[PRINCIPAL]],0),"")</f>
        <v>105501.49428247957</v>
      </c>
      <c r="K98" s="7">
        <f>IF(PaymentSchedule[[#This Row],[PMT NO]]&lt;&gt;"",SUM(INDEX([INTEREST],1,1):PaymentSchedule[[#This Row],[INTEREST]]),"")</f>
        <v>33535.261653973525</v>
      </c>
    </row>
    <row r="99" spans="2:11">
      <c r="B99" s="4">
        <f>IF(LoanIsGood,IF(ROW()-ROW(PaymentSchedule[[#Headers],[PMT NO]])&gt;ScheduledNumberOfPayments,"",ROW()-ROW(PaymentSchedule[[#Headers],[PMT NO]])),"")</f>
        <v>80</v>
      </c>
      <c r="C99" s="5">
        <f>IF(PaymentSchedule[[#This Row],[PMT NO]]&lt;&gt;"",EOMONTH(LoanStartDate,ROW(PaymentSchedule[[#This Row],[PMT NO]])-ROW(PaymentSchedule[[#Headers],[PMT NO]])-2)+DAY(LoanStartDate),"")</f>
        <v>46478</v>
      </c>
      <c r="D99" s="7">
        <f>IF(PaymentSchedule[[#This Row],[PMT NO]]&lt;&gt;"",IF(ROW()-ROW(PaymentSchedule[[#Headers],[BEGINNING BALANCE]])=1,LoanAmount,INDEX([ENDING BALANCE],ROW()-ROW(PaymentSchedule[[#Headers],[BEGINNING BALANCE]])-1)),"")</f>
        <v>105501.49428247957</v>
      </c>
      <c r="E99" s="7">
        <f>IF(PaymentSchedule[[#This Row],[PMT NO]]&lt;&gt;"",ScheduledPayment,"")</f>
        <v>608.02237179106271</v>
      </c>
      <c r="F9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9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99" s="7">
        <f>IF(PaymentSchedule[[#This Row],[PMT NO]]&lt;&gt;"",PaymentSchedule[[#This Row],[TOTAL PAYMENT]]-PaymentSchedule[[#This Row],[INTEREST]],"")</f>
        <v>212.39176823176433</v>
      </c>
      <c r="I99" s="7">
        <f>IF(PaymentSchedule[[#This Row],[PMT NO]]&lt;&gt;"",PaymentSchedule[[#This Row],[BEGINNING BALANCE]]*(InterestRate/PaymentsPerYear),"")</f>
        <v>395.63060355929838</v>
      </c>
      <c r="J99" s="7">
        <f>IF(PaymentSchedule[[#This Row],[PMT NO]]&lt;&gt;"",IF(PaymentSchedule[[#This Row],[SCHEDULED PAYMENT]]+PaymentSchedule[[#This Row],[EXTRA PAYMENT]]&lt;=PaymentSchedule[[#This Row],[BEGINNING BALANCE]],PaymentSchedule[[#This Row],[BEGINNING BALANCE]]-PaymentSchedule[[#This Row],[PRINCIPAL]],0),"")</f>
        <v>105289.1025142478</v>
      </c>
      <c r="K99" s="7">
        <f>IF(PaymentSchedule[[#This Row],[PMT NO]]&lt;&gt;"",SUM(INDEX([INTEREST],1,1):PaymentSchedule[[#This Row],[INTEREST]]),"")</f>
        <v>33930.892257532825</v>
      </c>
    </row>
    <row r="100" spans="2:11">
      <c r="B100" s="4">
        <f>IF(LoanIsGood,IF(ROW()-ROW(PaymentSchedule[[#Headers],[PMT NO]])&gt;ScheduledNumberOfPayments,"",ROW()-ROW(PaymentSchedule[[#Headers],[PMT NO]])),"")</f>
        <v>81</v>
      </c>
      <c r="C100" s="5">
        <f>IF(PaymentSchedule[[#This Row],[PMT NO]]&lt;&gt;"",EOMONTH(LoanStartDate,ROW(PaymentSchedule[[#This Row],[PMT NO]])-ROW(PaymentSchedule[[#Headers],[PMT NO]])-2)+DAY(LoanStartDate),"")</f>
        <v>46508</v>
      </c>
      <c r="D100" s="7">
        <f>IF(PaymentSchedule[[#This Row],[PMT NO]]&lt;&gt;"",IF(ROW()-ROW(PaymentSchedule[[#Headers],[BEGINNING BALANCE]])=1,LoanAmount,INDEX([ENDING BALANCE],ROW()-ROW(PaymentSchedule[[#Headers],[BEGINNING BALANCE]])-1)),"")</f>
        <v>105289.1025142478</v>
      </c>
      <c r="E100" s="7">
        <f>IF(PaymentSchedule[[#This Row],[PMT NO]]&lt;&gt;"",ScheduledPayment,"")</f>
        <v>608.02237179106271</v>
      </c>
      <c r="F10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0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00" s="7">
        <f>IF(PaymentSchedule[[#This Row],[PMT NO]]&lt;&gt;"",PaymentSchedule[[#This Row],[TOTAL PAYMENT]]-PaymentSchedule[[#This Row],[INTEREST]],"")</f>
        <v>213.18823736263346</v>
      </c>
      <c r="I100" s="7">
        <f>IF(PaymentSchedule[[#This Row],[PMT NO]]&lt;&gt;"",PaymentSchedule[[#This Row],[BEGINNING BALANCE]]*(InterestRate/PaymentsPerYear),"")</f>
        <v>394.83413442842925</v>
      </c>
      <c r="J100" s="7">
        <f>IF(PaymentSchedule[[#This Row],[PMT NO]]&lt;&gt;"",IF(PaymentSchedule[[#This Row],[SCHEDULED PAYMENT]]+PaymentSchedule[[#This Row],[EXTRA PAYMENT]]&lt;=PaymentSchedule[[#This Row],[BEGINNING BALANCE]],PaymentSchedule[[#This Row],[BEGINNING BALANCE]]-PaymentSchedule[[#This Row],[PRINCIPAL]],0),"")</f>
        <v>105075.91427688517</v>
      </c>
      <c r="K100" s="7">
        <f>IF(PaymentSchedule[[#This Row],[PMT NO]]&lt;&gt;"",SUM(INDEX([INTEREST],1,1):PaymentSchedule[[#This Row],[INTEREST]]),"")</f>
        <v>34325.726391961252</v>
      </c>
    </row>
    <row r="101" spans="2:11">
      <c r="B101" s="4">
        <f>IF(LoanIsGood,IF(ROW()-ROW(PaymentSchedule[[#Headers],[PMT NO]])&gt;ScheduledNumberOfPayments,"",ROW()-ROW(PaymentSchedule[[#Headers],[PMT NO]])),"")</f>
        <v>82</v>
      </c>
      <c r="C101" s="5">
        <f>IF(PaymentSchedule[[#This Row],[PMT NO]]&lt;&gt;"",EOMONTH(LoanStartDate,ROW(PaymentSchedule[[#This Row],[PMT NO]])-ROW(PaymentSchedule[[#Headers],[PMT NO]])-2)+DAY(LoanStartDate),"")</f>
        <v>46539</v>
      </c>
      <c r="D101" s="7">
        <f>IF(PaymentSchedule[[#This Row],[PMT NO]]&lt;&gt;"",IF(ROW()-ROW(PaymentSchedule[[#Headers],[BEGINNING BALANCE]])=1,LoanAmount,INDEX([ENDING BALANCE],ROW()-ROW(PaymentSchedule[[#Headers],[BEGINNING BALANCE]])-1)),"")</f>
        <v>105075.91427688517</v>
      </c>
      <c r="E101" s="7">
        <f>IF(PaymentSchedule[[#This Row],[PMT NO]]&lt;&gt;"",ScheduledPayment,"")</f>
        <v>608.02237179106271</v>
      </c>
      <c r="F10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0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01" s="7">
        <f>IF(PaymentSchedule[[#This Row],[PMT NO]]&lt;&gt;"",PaymentSchedule[[#This Row],[TOTAL PAYMENT]]-PaymentSchedule[[#This Row],[INTEREST]],"")</f>
        <v>213.98769325274333</v>
      </c>
      <c r="I101" s="7">
        <f>IF(PaymentSchedule[[#This Row],[PMT NO]]&lt;&gt;"",PaymentSchedule[[#This Row],[BEGINNING BALANCE]]*(InterestRate/PaymentsPerYear),"")</f>
        <v>394.03467853831938</v>
      </c>
      <c r="J101" s="7">
        <f>IF(PaymentSchedule[[#This Row],[PMT NO]]&lt;&gt;"",IF(PaymentSchedule[[#This Row],[SCHEDULED PAYMENT]]+PaymentSchedule[[#This Row],[EXTRA PAYMENT]]&lt;=PaymentSchedule[[#This Row],[BEGINNING BALANCE]],PaymentSchedule[[#This Row],[BEGINNING BALANCE]]-PaymentSchedule[[#This Row],[PRINCIPAL]],0),"")</f>
        <v>104861.92658363243</v>
      </c>
      <c r="K101" s="7">
        <f>IF(PaymentSchedule[[#This Row],[PMT NO]]&lt;&gt;"",SUM(INDEX([INTEREST],1,1):PaymentSchedule[[#This Row],[INTEREST]]),"")</f>
        <v>34719.761070499575</v>
      </c>
    </row>
    <row r="102" spans="2:11">
      <c r="B102" s="4">
        <f>IF(LoanIsGood,IF(ROW()-ROW(PaymentSchedule[[#Headers],[PMT NO]])&gt;ScheduledNumberOfPayments,"",ROW()-ROW(PaymentSchedule[[#Headers],[PMT NO]])),"")</f>
        <v>83</v>
      </c>
      <c r="C102" s="5">
        <f>IF(PaymentSchedule[[#This Row],[PMT NO]]&lt;&gt;"",EOMONTH(LoanStartDate,ROW(PaymentSchedule[[#This Row],[PMT NO]])-ROW(PaymentSchedule[[#Headers],[PMT NO]])-2)+DAY(LoanStartDate),"")</f>
        <v>46569</v>
      </c>
      <c r="D102" s="7">
        <f>IF(PaymentSchedule[[#This Row],[PMT NO]]&lt;&gt;"",IF(ROW()-ROW(PaymentSchedule[[#Headers],[BEGINNING BALANCE]])=1,LoanAmount,INDEX([ENDING BALANCE],ROW()-ROW(PaymentSchedule[[#Headers],[BEGINNING BALANCE]])-1)),"")</f>
        <v>104861.92658363243</v>
      </c>
      <c r="E102" s="7">
        <f>IF(PaymentSchedule[[#This Row],[PMT NO]]&lt;&gt;"",ScheduledPayment,"")</f>
        <v>608.02237179106271</v>
      </c>
      <c r="F10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0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02" s="7">
        <f>IF(PaymentSchedule[[#This Row],[PMT NO]]&lt;&gt;"",PaymentSchedule[[#This Row],[TOTAL PAYMENT]]-PaymentSchedule[[#This Row],[INTEREST]],"")</f>
        <v>214.7901471024411</v>
      </c>
      <c r="I102" s="7">
        <f>IF(PaymentSchedule[[#This Row],[PMT NO]]&lt;&gt;"",PaymentSchedule[[#This Row],[BEGINNING BALANCE]]*(InterestRate/PaymentsPerYear),"")</f>
        <v>393.23222468862161</v>
      </c>
      <c r="J102" s="7">
        <f>IF(PaymentSchedule[[#This Row],[PMT NO]]&lt;&gt;"",IF(PaymentSchedule[[#This Row],[SCHEDULED PAYMENT]]+PaymentSchedule[[#This Row],[EXTRA PAYMENT]]&lt;=PaymentSchedule[[#This Row],[BEGINNING BALANCE]],PaymentSchedule[[#This Row],[BEGINNING BALANCE]]-PaymentSchedule[[#This Row],[PRINCIPAL]],0),"")</f>
        <v>104647.13643653</v>
      </c>
      <c r="K102" s="7">
        <f>IF(PaymentSchedule[[#This Row],[PMT NO]]&lt;&gt;"",SUM(INDEX([INTEREST],1,1):PaymentSchedule[[#This Row],[INTEREST]]),"")</f>
        <v>35112.9932951882</v>
      </c>
    </row>
    <row r="103" spans="2:11">
      <c r="B103" s="4">
        <f>IF(LoanIsGood,IF(ROW()-ROW(PaymentSchedule[[#Headers],[PMT NO]])&gt;ScheduledNumberOfPayments,"",ROW()-ROW(PaymentSchedule[[#Headers],[PMT NO]])),"")</f>
        <v>84</v>
      </c>
      <c r="C103" s="5">
        <f>IF(PaymentSchedule[[#This Row],[PMT NO]]&lt;&gt;"",EOMONTH(LoanStartDate,ROW(PaymentSchedule[[#This Row],[PMT NO]])-ROW(PaymentSchedule[[#Headers],[PMT NO]])-2)+DAY(LoanStartDate),"")</f>
        <v>46600</v>
      </c>
      <c r="D103" s="7">
        <f>IF(PaymentSchedule[[#This Row],[PMT NO]]&lt;&gt;"",IF(ROW()-ROW(PaymentSchedule[[#Headers],[BEGINNING BALANCE]])=1,LoanAmount,INDEX([ENDING BALANCE],ROW()-ROW(PaymentSchedule[[#Headers],[BEGINNING BALANCE]])-1)),"")</f>
        <v>104647.13643653</v>
      </c>
      <c r="E103" s="7">
        <f>IF(PaymentSchedule[[#This Row],[PMT NO]]&lt;&gt;"",ScheduledPayment,"")</f>
        <v>608.02237179106271</v>
      </c>
      <c r="F10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0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03" s="7">
        <f>IF(PaymentSchedule[[#This Row],[PMT NO]]&lt;&gt;"",PaymentSchedule[[#This Row],[TOTAL PAYMENT]]-PaymentSchedule[[#This Row],[INTEREST]],"")</f>
        <v>215.59561015407525</v>
      </c>
      <c r="I103" s="7">
        <f>IF(PaymentSchedule[[#This Row],[PMT NO]]&lt;&gt;"",PaymentSchedule[[#This Row],[BEGINNING BALANCE]]*(InterestRate/PaymentsPerYear),"")</f>
        <v>392.42676163698746</v>
      </c>
      <c r="J103" s="7">
        <f>IF(PaymentSchedule[[#This Row],[PMT NO]]&lt;&gt;"",IF(PaymentSchedule[[#This Row],[SCHEDULED PAYMENT]]+PaymentSchedule[[#This Row],[EXTRA PAYMENT]]&lt;=PaymentSchedule[[#This Row],[BEGINNING BALANCE]],PaymentSchedule[[#This Row],[BEGINNING BALANCE]]-PaymentSchedule[[#This Row],[PRINCIPAL]],0),"")</f>
        <v>104431.54082637592</v>
      </c>
      <c r="K103" s="7">
        <f>IF(PaymentSchedule[[#This Row],[PMT NO]]&lt;&gt;"",SUM(INDEX([INTEREST],1,1):PaymentSchedule[[#This Row],[INTEREST]]),"")</f>
        <v>35505.420056825191</v>
      </c>
    </row>
    <row r="104" spans="2:11">
      <c r="B104" s="4">
        <f>IF(LoanIsGood,IF(ROW()-ROW(PaymentSchedule[[#Headers],[PMT NO]])&gt;ScheduledNumberOfPayments,"",ROW()-ROW(PaymentSchedule[[#Headers],[PMT NO]])),"")</f>
        <v>85</v>
      </c>
      <c r="C104" s="5">
        <f>IF(PaymentSchedule[[#This Row],[PMT NO]]&lt;&gt;"",EOMONTH(LoanStartDate,ROW(PaymentSchedule[[#This Row],[PMT NO]])-ROW(PaymentSchedule[[#Headers],[PMT NO]])-2)+DAY(LoanStartDate),"")</f>
        <v>46631</v>
      </c>
      <c r="D104" s="7">
        <f>IF(PaymentSchedule[[#This Row],[PMT NO]]&lt;&gt;"",IF(ROW()-ROW(PaymentSchedule[[#Headers],[BEGINNING BALANCE]])=1,LoanAmount,INDEX([ENDING BALANCE],ROW()-ROW(PaymentSchedule[[#Headers],[BEGINNING BALANCE]])-1)),"")</f>
        <v>104431.54082637592</v>
      </c>
      <c r="E104" s="7">
        <f>IF(PaymentSchedule[[#This Row],[PMT NO]]&lt;&gt;"",ScheduledPayment,"")</f>
        <v>608.02237179106271</v>
      </c>
      <c r="F10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0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04" s="7">
        <f>IF(PaymentSchedule[[#This Row],[PMT NO]]&lt;&gt;"",PaymentSchedule[[#This Row],[TOTAL PAYMENT]]-PaymentSchedule[[#This Row],[INTEREST]],"")</f>
        <v>216.40409369215303</v>
      </c>
      <c r="I104" s="7">
        <f>IF(PaymentSchedule[[#This Row],[PMT NO]]&lt;&gt;"",PaymentSchedule[[#This Row],[BEGINNING BALANCE]]*(InterestRate/PaymentsPerYear),"")</f>
        <v>391.61827809890968</v>
      </c>
      <c r="J104" s="7">
        <f>IF(PaymentSchedule[[#This Row],[PMT NO]]&lt;&gt;"",IF(PaymentSchedule[[#This Row],[SCHEDULED PAYMENT]]+PaymentSchedule[[#This Row],[EXTRA PAYMENT]]&lt;=PaymentSchedule[[#This Row],[BEGINNING BALANCE]],PaymentSchedule[[#This Row],[BEGINNING BALANCE]]-PaymentSchedule[[#This Row],[PRINCIPAL]],0),"")</f>
        <v>104215.13673268376</v>
      </c>
      <c r="K104" s="7">
        <f>IF(PaymentSchedule[[#This Row],[PMT NO]]&lt;&gt;"",SUM(INDEX([INTEREST],1,1):PaymentSchedule[[#This Row],[INTEREST]]),"")</f>
        <v>35897.038334924102</v>
      </c>
    </row>
    <row r="105" spans="2:11">
      <c r="B105" s="4">
        <f>IF(LoanIsGood,IF(ROW()-ROW(PaymentSchedule[[#Headers],[PMT NO]])&gt;ScheduledNumberOfPayments,"",ROW()-ROW(PaymentSchedule[[#Headers],[PMT NO]])),"")</f>
        <v>86</v>
      </c>
      <c r="C105" s="5">
        <f>IF(PaymentSchedule[[#This Row],[PMT NO]]&lt;&gt;"",EOMONTH(LoanStartDate,ROW(PaymentSchedule[[#This Row],[PMT NO]])-ROW(PaymentSchedule[[#Headers],[PMT NO]])-2)+DAY(LoanStartDate),"")</f>
        <v>46661</v>
      </c>
      <c r="D105" s="7">
        <f>IF(PaymentSchedule[[#This Row],[PMT NO]]&lt;&gt;"",IF(ROW()-ROW(PaymentSchedule[[#Headers],[BEGINNING BALANCE]])=1,LoanAmount,INDEX([ENDING BALANCE],ROW()-ROW(PaymentSchedule[[#Headers],[BEGINNING BALANCE]])-1)),"")</f>
        <v>104215.13673268376</v>
      </c>
      <c r="E105" s="7">
        <f>IF(PaymentSchedule[[#This Row],[PMT NO]]&lt;&gt;"",ScheduledPayment,"")</f>
        <v>608.02237179106271</v>
      </c>
      <c r="F10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0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05" s="7">
        <f>IF(PaymentSchedule[[#This Row],[PMT NO]]&lt;&gt;"",PaymentSchedule[[#This Row],[TOTAL PAYMENT]]-PaymentSchedule[[#This Row],[INTEREST]],"")</f>
        <v>217.2156090434986</v>
      </c>
      <c r="I105" s="7">
        <f>IF(PaymentSchedule[[#This Row],[PMT NO]]&lt;&gt;"",PaymentSchedule[[#This Row],[BEGINNING BALANCE]]*(InterestRate/PaymentsPerYear),"")</f>
        <v>390.80676274756411</v>
      </c>
      <c r="J105" s="7">
        <f>IF(PaymentSchedule[[#This Row],[PMT NO]]&lt;&gt;"",IF(PaymentSchedule[[#This Row],[SCHEDULED PAYMENT]]+PaymentSchedule[[#This Row],[EXTRA PAYMENT]]&lt;=PaymentSchedule[[#This Row],[BEGINNING BALANCE]],PaymentSchedule[[#This Row],[BEGINNING BALANCE]]-PaymentSchedule[[#This Row],[PRINCIPAL]],0),"")</f>
        <v>103997.92112364026</v>
      </c>
      <c r="K105" s="7">
        <f>IF(PaymentSchedule[[#This Row],[PMT NO]]&lt;&gt;"",SUM(INDEX([INTEREST],1,1):PaymentSchedule[[#This Row],[INTEREST]]),"")</f>
        <v>36287.845097671663</v>
      </c>
    </row>
    <row r="106" spans="2:11">
      <c r="B106" s="4">
        <f>IF(LoanIsGood,IF(ROW()-ROW(PaymentSchedule[[#Headers],[PMT NO]])&gt;ScheduledNumberOfPayments,"",ROW()-ROW(PaymentSchedule[[#Headers],[PMT NO]])),"")</f>
        <v>87</v>
      </c>
      <c r="C106" s="5">
        <f>IF(PaymentSchedule[[#This Row],[PMT NO]]&lt;&gt;"",EOMONTH(LoanStartDate,ROW(PaymentSchedule[[#This Row],[PMT NO]])-ROW(PaymentSchedule[[#Headers],[PMT NO]])-2)+DAY(LoanStartDate),"")</f>
        <v>46692</v>
      </c>
      <c r="D106" s="7">
        <f>IF(PaymentSchedule[[#This Row],[PMT NO]]&lt;&gt;"",IF(ROW()-ROW(PaymentSchedule[[#Headers],[BEGINNING BALANCE]])=1,LoanAmount,INDEX([ENDING BALANCE],ROW()-ROW(PaymentSchedule[[#Headers],[BEGINNING BALANCE]])-1)),"")</f>
        <v>103997.92112364026</v>
      </c>
      <c r="E106" s="7">
        <f>IF(PaymentSchedule[[#This Row],[PMT NO]]&lt;&gt;"",ScheduledPayment,"")</f>
        <v>608.02237179106271</v>
      </c>
      <c r="F10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0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06" s="7">
        <f>IF(PaymentSchedule[[#This Row],[PMT NO]]&lt;&gt;"",PaymentSchedule[[#This Row],[TOTAL PAYMENT]]-PaymentSchedule[[#This Row],[INTEREST]],"")</f>
        <v>218.03016757741176</v>
      </c>
      <c r="I106" s="7">
        <f>IF(PaymentSchedule[[#This Row],[PMT NO]]&lt;&gt;"",PaymentSchedule[[#This Row],[BEGINNING BALANCE]]*(InterestRate/PaymentsPerYear),"")</f>
        <v>389.99220421365095</v>
      </c>
      <c r="J106" s="7">
        <f>IF(PaymentSchedule[[#This Row],[PMT NO]]&lt;&gt;"",IF(PaymentSchedule[[#This Row],[SCHEDULED PAYMENT]]+PaymentSchedule[[#This Row],[EXTRA PAYMENT]]&lt;=PaymentSchedule[[#This Row],[BEGINNING BALANCE]],PaymentSchedule[[#This Row],[BEGINNING BALANCE]]-PaymentSchedule[[#This Row],[PRINCIPAL]],0),"")</f>
        <v>103779.89095606285</v>
      </c>
      <c r="K106" s="7">
        <f>IF(PaymentSchedule[[#This Row],[PMT NO]]&lt;&gt;"",SUM(INDEX([INTEREST],1,1):PaymentSchedule[[#This Row],[INTEREST]]),"")</f>
        <v>36677.837301885316</v>
      </c>
    </row>
    <row r="107" spans="2:11">
      <c r="B107" s="4">
        <f>IF(LoanIsGood,IF(ROW()-ROW(PaymentSchedule[[#Headers],[PMT NO]])&gt;ScheduledNumberOfPayments,"",ROW()-ROW(PaymentSchedule[[#Headers],[PMT NO]])),"")</f>
        <v>88</v>
      </c>
      <c r="C107" s="5">
        <f>IF(PaymentSchedule[[#This Row],[PMT NO]]&lt;&gt;"",EOMONTH(LoanStartDate,ROW(PaymentSchedule[[#This Row],[PMT NO]])-ROW(PaymentSchedule[[#Headers],[PMT NO]])-2)+DAY(LoanStartDate),"")</f>
        <v>46722</v>
      </c>
      <c r="D107" s="7">
        <f>IF(PaymentSchedule[[#This Row],[PMT NO]]&lt;&gt;"",IF(ROW()-ROW(PaymentSchedule[[#Headers],[BEGINNING BALANCE]])=1,LoanAmount,INDEX([ENDING BALANCE],ROW()-ROW(PaymentSchedule[[#Headers],[BEGINNING BALANCE]])-1)),"")</f>
        <v>103779.89095606285</v>
      </c>
      <c r="E107" s="7">
        <f>IF(PaymentSchedule[[#This Row],[PMT NO]]&lt;&gt;"",ScheduledPayment,"")</f>
        <v>608.02237179106271</v>
      </c>
      <c r="F10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0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07" s="7">
        <f>IF(PaymentSchedule[[#This Row],[PMT NO]]&lt;&gt;"",PaymentSchedule[[#This Row],[TOTAL PAYMENT]]-PaymentSchedule[[#This Row],[INTEREST]],"")</f>
        <v>218.84778070582701</v>
      </c>
      <c r="I107" s="7">
        <f>IF(PaymentSchedule[[#This Row],[PMT NO]]&lt;&gt;"",PaymentSchedule[[#This Row],[BEGINNING BALANCE]]*(InterestRate/PaymentsPerYear),"")</f>
        <v>389.1745910852357</v>
      </c>
      <c r="J107" s="7">
        <f>IF(PaymentSchedule[[#This Row],[PMT NO]]&lt;&gt;"",IF(PaymentSchedule[[#This Row],[SCHEDULED PAYMENT]]+PaymentSchedule[[#This Row],[EXTRA PAYMENT]]&lt;=PaymentSchedule[[#This Row],[BEGINNING BALANCE]],PaymentSchedule[[#This Row],[BEGINNING BALANCE]]-PaymentSchedule[[#This Row],[PRINCIPAL]],0),"")</f>
        <v>103561.04317535703</v>
      </c>
      <c r="K107" s="7">
        <f>IF(PaymentSchedule[[#This Row],[PMT NO]]&lt;&gt;"",SUM(INDEX([INTEREST],1,1):PaymentSchedule[[#This Row],[INTEREST]]),"")</f>
        <v>37067.01189297055</v>
      </c>
    </row>
    <row r="108" spans="2:11">
      <c r="B108" s="4">
        <f>IF(LoanIsGood,IF(ROW()-ROW(PaymentSchedule[[#Headers],[PMT NO]])&gt;ScheduledNumberOfPayments,"",ROW()-ROW(PaymentSchedule[[#Headers],[PMT NO]])),"")</f>
        <v>89</v>
      </c>
      <c r="C108" s="5">
        <f>IF(PaymentSchedule[[#This Row],[PMT NO]]&lt;&gt;"",EOMONTH(LoanStartDate,ROW(PaymentSchedule[[#This Row],[PMT NO]])-ROW(PaymentSchedule[[#Headers],[PMT NO]])-2)+DAY(LoanStartDate),"")</f>
        <v>46753</v>
      </c>
      <c r="D108" s="7">
        <f>IF(PaymentSchedule[[#This Row],[PMT NO]]&lt;&gt;"",IF(ROW()-ROW(PaymentSchedule[[#Headers],[BEGINNING BALANCE]])=1,LoanAmount,INDEX([ENDING BALANCE],ROW()-ROW(PaymentSchedule[[#Headers],[BEGINNING BALANCE]])-1)),"")</f>
        <v>103561.04317535703</v>
      </c>
      <c r="E108" s="7">
        <f>IF(PaymentSchedule[[#This Row],[PMT NO]]&lt;&gt;"",ScheduledPayment,"")</f>
        <v>608.02237179106271</v>
      </c>
      <c r="F10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0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08" s="7">
        <f>IF(PaymentSchedule[[#This Row],[PMT NO]]&lt;&gt;"",PaymentSchedule[[#This Row],[TOTAL PAYMENT]]-PaymentSchedule[[#This Row],[INTEREST]],"")</f>
        <v>219.66845988347387</v>
      </c>
      <c r="I108" s="7">
        <f>IF(PaymentSchedule[[#This Row],[PMT NO]]&lt;&gt;"",PaymentSchedule[[#This Row],[BEGINNING BALANCE]]*(InterestRate/PaymentsPerYear),"")</f>
        <v>388.35391190758884</v>
      </c>
      <c r="J108" s="7">
        <f>IF(PaymentSchedule[[#This Row],[PMT NO]]&lt;&gt;"",IF(PaymentSchedule[[#This Row],[SCHEDULED PAYMENT]]+PaymentSchedule[[#This Row],[EXTRA PAYMENT]]&lt;=PaymentSchedule[[#This Row],[BEGINNING BALANCE]],PaymentSchedule[[#This Row],[BEGINNING BALANCE]]-PaymentSchedule[[#This Row],[PRINCIPAL]],0),"")</f>
        <v>103341.37471547356</v>
      </c>
      <c r="K108" s="7">
        <f>IF(PaymentSchedule[[#This Row],[PMT NO]]&lt;&gt;"",SUM(INDEX([INTEREST],1,1):PaymentSchedule[[#This Row],[INTEREST]]),"")</f>
        <v>37455.365804878136</v>
      </c>
    </row>
    <row r="109" spans="2:11">
      <c r="B109" s="4">
        <f>IF(LoanIsGood,IF(ROW()-ROW(PaymentSchedule[[#Headers],[PMT NO]])&gt;ScheduledNumberOfPayments,"",ROW()-ROW(PaymentSchedule[[#Headers],[PMT NO]])),"")</f>
        <v>90</v>
      </c>
      <c r="C109" s="5">
        <f>IF(PaymentSchedule[[#This Row],[PMT NO]]&lt;&gt;"",EOMONTH(LoanStartDate,ROW(PaymentSchedule[[#This Row],[PMT NO]])-ROW(PaymentSchedule[[#Headers],[PMT NO]])-2)+DAY(LoanStartDate),"")</f>
        <v>46784</v>
      </c>
      <c r="D109" s="7">
        <f>IF(PaymentSchedule[[#This Row],[PMT NO]]&lt;&gt;"",IF(ROW()-ROW(PaymentSchedule[[#Headers],[BEGINNING BALANCE]])=1,LoanAmount,INDEX([ENDING BALANCE],ROW()-ROW(PaymentSchedule[[#Headers],[BEGINNING BALANCE]])-1)),"")</f>
        <v>103341.37471547356</v>
      </c>
      <c r="E109" s="7">
        <f>IF(PaymentSchedule[[#This Row],[PMT NO]]&lt;&gt;"",ScheduledPayment,"")</f>
        <v>608.02237179106271</v>
      </c>
      <c r="F10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0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09" s="7">
        <f>IF(PaymentSchedule[[#This Row],[PMT NO]]&lt;&gt;"",PaymentSchedule[[#This Row],[TOTAL PAYMENT]]-PaymentSchedule[[#This Row],[INTEREST]],"")</f>
        <v>220.49221660803687</v>
      </c>
      <c r="I109" s="7">
        <f>IF(PaymentSchedule[[#This Row],[PMT NO]]&lt;&gt;"",PaymentSchedule[[#This Row],[BEGINNING BALANCE]]*(InterestRate/PaymentsPerYear),"")</f>
        <v>387.53015518302584</v>
      </c>
      <c r="J109" s="7">
        <f>IF(PaymentSchedule[[#This Row],[PMT NO]]&lt;&gt;"",IF(PaymentSchedule[[#This Row],[SCHEDULED PAYMENT]]+PaymentSchedule[[#This Row],[EXTRA PAYMENT]]&lt;=PaymentSchedule[[#This Row],[BEGINNING BALANCE]],PaymentSchedule[[#This Row],[BEGINNING BALANCE]]-PaymentSchedule[[#This Row],[PRINCIPAL]],0),"")</f>
        <v>103120.88249886553</v>
      </c>
      <c r="K109" s="7">
        <f>IF(PaymentSchedule[[#This Row],[PMT NO]]&lt;&gt;"",SUM(INDEX([INTEREST],1,1):PaymentSchedule[[#This Row],[INTEREST]]),"")</f>
        <v>37842.895960061163</v>
      </c>
    </row>
    <row r="110" spans="2:11">
      <c r="B110" s="4">
        <f>IF(LoanIsGood,IF(ROW()-ROW(PaymentSchedule[[#Headers],[PMT NO]])&gt;ScheduledNumberOfPayments,"",ROW()-ROW(PaymentSchedule[[#Headers],[PMT NO]])),"")</f>
        <v>91</v>
      </c>
      <c r="C110" s="5">
        <f>IF(PaymentSchedule[[#This Row],[PMT NO]]&lt;&gt;"",EOMONTH(LoanStartDate,ROW(PaymentSchedule[[#This Row],[PMT NO]])-ROW(PaymentSchedule[[#Headers],[PMT NO]])-2)+DAY(LoanStartDate),"")</f>
        <v>46813</v>
      </c>
      <c r="D110" s="7">
        <f>IF(PaymentSchedule[[#This Row],[PMT NO]]&lt;&gt;"",IF(ROW()-ROW(PaymentSchedule[[#Headers],[BEGINNING BALANCE]])=1,LoanAmount,INDEX([ENDING BALANCE],ROW()-ROW(PaymentSchedule[[#Headers],[BEGINNING BALANCE]])-1)),"")</f>
        <v>103120.88249886553</v>
      </c>
      <c r="E110" s="7">
        <f>IF(PaymentSchedule[[#This Row],[PMT NO]]&lt;&gt;"",ScheduledPayment,"")</f>
        <v>608.02237179106271</v>
      </c>
      <c r="F11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1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10" s="7">
        <f>IF(PaymentSchedule[[#This Row],[PMT NO]]&lt;&gt;"",PaymentSchedule[[#This Row],[TOTAL PAYMENT]]-PaymentSchedule[[#This Row],[INTEREST]],"")</f>
        <v>221.31906242031698</v>
      </c>
      <c r="I110" s="7">
        <f>IF(PaymentSchedule[[#This Row],[PMT NO]]&lt;&gt;"",PaymentSchedule[[#This Row],[BEGINNING BALANCE]]*(InterestRate/PaymentsPerYear),"")</f>
        <v>386.70330937074573</v>
      </c>
      <c r="J110" s="7">
        <f>IF(PaymentSchedule[[#This Row],[PMT NO]]&lt;&gt;"",IF(PaymentSchedule[[#This Row],[SCHEDULED PAYMENT]]+PaymentSchedule[[#This Row],[EXTRA PAYMENT]]&lt;=PaymentSchedule[[#This Row],[BEGINNING BALANCE]],PaymentSchedule[[#This Row],[BEGINNING BALANCE]]-PaymentSchedule[[#This Row],[PRINCIPAL]],0),"")</f>
        <v>102899.56343644521</v>
      </c>
      <c r="K110" s="7">
        <f>IF(PaymentSchedule[[#This Row],[PMT NO]]&lt;&gt;"",SUM(INDEX([INTEREST],1,1):PaymentSchedule[[#This Row],[INTEREST]]),"")</f>
        <v>38229.599269431907</v>
      </c>
    </row>
    <row r="111" spans="2:11">
      <c r="B111" s="4">
        <f>IF(LoanIsGood,IF(ROW()-ROW(PaymentSchedule[[#Headers],[PMT NO]])&gt;ScheduledNumberOfPayments,"",ROW()-ROW(PaymentSchedule[[#Headers],[PMT NO]])),"")</f>
        <v>92</v>
      </c>
      <c r="C111" s="5">
        <f>IF(PaymentSchedule[[#This Row],[PMT NO]]&lt;&gt;"",EOMONTH(LoanStartDate,ROW(PaymentSchedule[[#This Row],[PMT NO]])-ROW(PaymentSchedule[[#Headers],[PMT NO]])-2)+DAY(LoanStartDate),"")</f>
        <v>46844</v>
      </c>
      <c r="D111" s="7">
        <f>IF(PaymentSchedule[[#This Row],[PMT NO]]&lt;&gt;"",IF(ROW()-ROW(PaymentSchedule[[#Headers],[BEGINNING BALANCE]])=1,LoanAmount,INDEX([ENDING BALANCE],ROW()-ROW(PaymentSchedule[[#Headers],[BEGINNING BALANCE]])-1)),"")</f>
        <v>102899.56343644521</v>
      </c>
      <c r="E111" s="7">
        <f>IF(PaymentSchedule[[#This Row],[PMT NO]]&lt;&gt;"",ScheduledPayment,"")</f>
        <v>608.02237179106271</v>
      </c>
      <c r="F11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1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11" s="7">
        <f>IF(PaymentSchedule[[#This Row],[PMT NO]]&lt;&gt;"",PaymentSchedule[[#This Row],[TOTAL PAYMENT]]-PaymentSchedule[[#This Row],[INTEREST]],"")</f>
        <v>222.14900890439316</v>
      </c>
      <c r="I111" s="7">
        <f>IF(PaymentSchedule[[#This Row],[PMT NO]]&lt;&gt;"",PaymentSchedule[[#This Row],[BEGINNING BALANCE]]*(InterestRate/PaymentsPerYear),"")</f>
        <v>385.87336288666955</v>
      </c>
      <c r="J111" s="7">
        <f>IF(PaymentSchedule[[#This Row],[PMT NO]]&lt;&gt;"",IF(PaymentSchedule[[#This Row],[SCHEDULED PAYMENT]]+PaymentSchedule[[#This Row],[EXTRA PAYMENT]]&lt;=PaymentSchedule[[#This Row],[BEGINNING BALANCE]],PaymentSchedule[[#This Row],[BEGINNING BALANCE]]-PaymentSchedule[[#This Row],[PRINCIPAL]],0),"")</f>
        <v>102677.41442754082</v>
      </c>
      <c r="K111" s="7">
        <f>IF(PaymentSchedule[[#This Row],[PMT NO]]&lt;&gt;"",SUM(INDEX([INTEREST],1,1):PaymentSchedule[[#This Row],[INTEREST]]),"")</f>
        <v>38615.472632318575</v>
      </c>
    </row>
    <row r="112" spans="2:11">
      <c r="B112" s="4">
        <f>IF(LoanIsGood,IF(ROW()-ROW(PaymentSchedule[[#Headers],[PMT NO]])&gt;ScheduledNumberOfPayments,"",ROW()-ROW(PaymentSchedule[[#Headers],[PMT NO]])),"")</f>
        <v>93</v>
      </c>
      <c r="C112" s="5">
        <f>IF(PaymentSchedule[[#This Row],[PMT NO]]&lt;&gt;"",EOMONTH(LoanStartDate,ROW(PaymentSchedule[[#This Row],[PMT NO]])-ROW(PaymentSchedule[[#Headers],[PMT NO]])-2)+DAY(LoanStartDate),"")</f>
        <v>46874</v>
      </c>
      <c r="D112" s="7">
        <f>IF(PaymentSchedule[[#This Row],[PMT NO]]&lt;&gt;"",IF(ROW()-ROW(PaymentSchedule[[#Headers],[BEGINNING BALANCE]])=1,LoanAmount,INDEX([ENDING BALANCE],ROW()-ROW(PaymentSchedule[[#Headers],[BEGINNING BALANCE]])-1)),"")</f>
        <v>102677.41442754082</v>
      </c>
      <c r="E112" s="7">
        <f>IF(PaymentSchedule[[#This Row],[PMT NO]]&lt;&gt;"",ScheduledPayment,"")</f>
        <v>608.02237179106271</v>
      </c>
      <c r="F11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1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12" s="7">
        <f>IF(PaymentSchedule[[#This Row],[PMT NO]]&lt;&gt;"",PaymentSchedule[[#This Row],[TOTAL PAYMENT]]-PaymentSchedule[[#This Row],[INTEREST]],"")</f>
        <v>222.98206768778465</v>
      </c>
      <c r="I112" s="7">
        <f>IF(PaymentSchedule[[#This Row],[PMT NO]]&lt;&gt;"",PaymentSchedule[[#This Row],[BEGINNING BALANCE]]*(InterestRate/PaymentsPerYear),"")</f>
        <v>385.04030410327806</v>
      </c>
      <c r="J112" s="7">
        <f>IF(PaymentSchedule[[#This Row],[PMT NO]]&lt;&gt;"",IF(PaymentSchedule[[#This Row],[SCHEDULED PAYMENT]]+PaymentSchedule[[#This Row],[EXTRA PAYMENT]]&lt;=PaymentSchedule[[#This Row],[BEGINNING BALANCE]],PaymentSchedule[[#This Row],[BEGINNING BALANCE]]-PaymentSchedule[[#This Row],[PRINCIPAL]],0),"")</f>
        <v>102454.43235985303</v>
      </c>
      <c r="K112" s="7">
        <f>IF(PaymentSchedule[[#This Row],[PMT NO]]&lt;&gt;"",SUM(INDEX([INTEREST],1,1):PaymentSchedule[[#This Row],[INTEREST]]),"")</f>
        <v>39000.512936421852</v>
      </c>
    </row>
    <row r="113" spans="2:11">
      <c r="B113" s="4">
        <f>IF(LoanIsGood,IF(ROW()-ROW(PaymentSchedule[[#Headers],[PMT NO]])&gt;ScheduledNumberOfPayments,"",ROW()-ROW(PaymentSchedule[[#Headers],[PMT NO]])),"")</f>
        <v>94</v>
      </c>
      <c r="C113" s="5">
        <f>IF(PaymentSchedule[[#This Row],[PMT NO]]&lt;&gt;"",EOMONTH(LoanStartDate,ROW(PaymentSchedule[[#This Row],[PMT NO]])-ROW(PaymentSchedule[[#Headers],[PMT NO]])-2)+DAY(LoanStartDate),"")</f>
        <v>46905</v>
      </c>
      <c r="D113" s="7">
        <f>IF(PaymentSchedule[[#This Row],[PMT NO]]&lt;&gt;"",IF(ROW()-ROW(PaymentSchedule[[#Headers],[BEGINNING BALANCE]])=1,LoanAmount,INDEX([ENDING BALANCE],ROW()-ROW(PaymentSchedule[[#Headers],[BEGINNING BALANCE]])-1)),"")</f>
        <v>102454.43235985303</v>
      </c>
      <c r="E113" s="7">
        <f>IF(PaymentSchedule[[#This Row],[PMT NO]]&lt;&gt;"",ScheduledPayment,"")</f>
        <v>608.02237179106271</v>
      </c>
      <c r="F11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1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13" s="7">
        <f>IF(PaymentSchedule[[#This Row],[PMT NO]]&lt;&gt;"",PaymentSchedule[[#This Row],[TOTAL PAYMENT]]-PaymentSchedule[[#This Row],[INTEREST]],"")</f>
        <v>223.81825044161383</v>
      </c>
      <c r="I113" s="7">
        <f>IF(PaymentSchedule[[#This Row],[PMT NO]]&lt;&gt;"",PaymentSchedule[[#This Row],[BEGINNING BALANCE]]*(InterestRate/PaymentsPerYear),"")</f>
        <v>384.20412134944888</v>
      </c>
      <c r="J113" s="7">
        <f>IF(PaymentSchedule[[#This Row],[PMT NO]]&lt;&gt;"",IF(PaymentSchedule[[#This Row],[SCHEDULED PAYMENT]]+PaymentSchedule[[#This Row],[EXTRA PAYMENT]]&lt;=PaymentSchedule[[#This Row],[BEGINNING BALANCE]],PaymentSchedule[[#This Row],[BEGINNING BALANCE]]-PaymentSchedule[[#This Row],[PRINCIPAL]],0),"")</f>
        <v>102230.61410941141</v>
      </c>
      <c r="K113" s="7">
        <f>IF(PaymentSchedule[[#This Row],[PMT NO]]&lt;&gt;"",SUM(INDEX([INTEREST],1,1):PaymentSchedule[[#This Row],[INTEREST]]),"")</f>
        <v>39384.717057771304</v>
      </c>
    </row>
    <row r="114" spans="2:11">
      <c r="B114" s="4">
        <f>IF(LoanIsGood,IF(ROW()-ROW(PaymentSchedule[[#Headers],[PMT NO]])&gt;ScheduledNumberOfPayments,"",ROW()-ROW(PaymentSchedule[[#Headers],[PMT NO]])),"")</f>
        <v>95</v>
      </c>
      <c r="C114" s="5">
        <f>IF(PaymentSchedule[[#This Row],[PMT NO]]&lt;&gt;"",EOMONTH(LoanStartDate,ROW(PaymentSchedule[[#This Row],[PMT NO]])-ROW(PaymentSchedule[[#Headers],[PMT NO]])-2)+DAY(LoanStartDate),"")</f>
        <v>46935</v>
      </c>
      <c r="D114" s="7">
        <f>IF(PaymentSchedule[[#This Row],[PMT NO]]&lt;&gt;"",IF(ROW()-ROW(PaymentSchedule[[#Headers],[BEGINNING BALANCE]])=1,LoanAmount,INDEX([ENDING BALANCE],ROW()-ROW(PaymentSchedule[[#Headers],[BEGINNING BALANCE]])-1)),"")</f>
        <v>102230.61410941141</v>
      </c>
      <c r="E114" s="7">
        <f>IF(PaymentSchedule[[#This Row],[PMT NO]]&lt;&gt;"",ScheduledPayment,"")</f>
        <v>608.02237179106271</v>
      </c>
      <c r="F11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1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14" s="7">
        <f>IF(PaymentSchedule[[#This Row],[PMT NO]]&lt;&gt;"",PaymentSchedule[[#This Row],[TOTAL PAYMENT]]-PaymentSchedule[[#This Row],[INTEREST]],"")</f>
        <v>224.65756888076993</v>
      </c>
      <c r="I114" s="7">
        <f>IF(PaymentSchedule[[#This Row],[PMT NO]]&lt;&gt;"",PaymentSchedule[[#This Row],[BEGINNING BALANCE]]*(InterestRate/PaymentsPerYear),"")</f>
        <v>383.36480291029278</v>
      </c>
      <c r="J114" s="7">
        <f>IF(PaymentSchedule[[#This Row],[PMT NO]]&lt;&gt;"",IF(PaymentSchedule[[#This Row],[SCHEDULED PAYMENT]]+PaymentSchedule[[#This Row],[EXTRA PAYMENT]]&lt;=PaymentSchedule[[#This Row],[BEGINNING BALANCE]],PaymentSchedule[[#This Row],[BEGINNING BALANCE]]-PaymentSchedule[[#This Row],[PRINCIPAL]],0),"")</f>
        <v>102005.95654053065</v>
      </c>
      <c r="K114" s="7">
        <f>IF(PaymentSchedule[[#This Row],[PMT NO]]&lt;&gt;"",SUM(INDEX([INTEREST],1,1):PaymentSchedule[[#This Row],[INTEREST]]),"")</f>
        <v>39768.081860681596</v>
      </c>
    </row>
    <row r="115" spans="2:11">
      <c r="B115" s="4">
        <f>IF(LoanIsGood,IF(ROW()-ROW(PaymentSchedule[[#Headers],[PMT NO]])&gt;ScheduledNumberOfPayments,"",ROW()-ROW(PaymentSchedule[[#Headers],[PMT NO]])),"")</f>
        <v>96</v>
      </c>
      <c r="C115" s="5">
        <f>IF(PaymentSchedule[[#This Row],[PMT NO]]&lt;&gt;"",EOMONTH(LoanStartDate,ROW(PaymentSchedule[[#This Row],[PMT NO]])-ROW(PaymentSchedule[[#Headers],[PMT NO]])-2)+DAY(LoanStartDate),"")</f>
        <v>46966</v>
      </c>
      <c r="D115" s="7">
        <f>IF(PaymentSchedule[[#This Row],[PMT NO]]&lt;&gt;"",IF(ROW()-ROW(PaymentSchedule[[#Headers],[BEGINNING BALANCE]])=1,LoanAmount,INDEX([ENDING BALANCE],ROW()-ROW(PaymentSchedule[[#Headers],[BEGINNING BALANCE]])-1)),"")</f>
        <v>102005.95654053065</v>
      </c>
      <c r="E115" s="7">
        <f>IF(PaymentSchedule[[#This Row],[PMT NO]]&lt;&gt;"",ScheduledPayment,"")</f>
        <v>608.02237179106271</v>
      </c>
      <c r="F11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1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15" s="7">
        <f>IF(PaymentSchedule[[#This Row],[PMT NO]]&lt;&gt;"",PaymentSchedule[[#This Row],[TOTAL PAYMENT]]-PaymentSchedule[[#This Row],[INTEREST]],"")</f>
        <v>225.50003476407278</v>
      </c>
      <c r="I115" s="7">
        <f>IF(PaymentSchedule[[#This Row],[PMT NO]]&lt;&gt;"",PaymentSchedule[[#This Row],[BEGINNING BALANCE]]*(InterestRate/PaymentsPerYear),"")</f>
        <v>382.52233702698993</v>
      </c>
      <c r="J115" s="7">
        <f>IF(PaymentSchedule[[#This Row],[PMT NO]]&lt;&gt;"",IF(PaymentSchedule[[#This Row],[SCHEDULED PAYMENT]]+PaymentSchedule[[#This Row],[EXTRA PAYMENT]]&lt;=PaymentSchedule[[#This Row],[BEGINNING BALANCE]],PaymentSchedule[[#This Row],[BEGINNING BALANCE]]-PaymentSchedule[[#This Row],[PRINCIPAL]],0),"")</f>
        <v>101780.45650576657</v>
      </c>
      <c r="K115" s="7">
        <f>IF(PaymentSchedule[[#This Row],[PMT NO]]&lt;&gt;"",SUM(INDEX([INTEREST],1,1):PaymentSchedule[[#This Row],[INTEREST]]),"")</f>
        <v>40150.604197708584</v>
      </c>
    </row>
    <row r="116" spans="2:11">
      <c r="B116" s="4">
        <f>IF(LoanIsGood,IF(ROW()-ROW(PaymentSchedule[[#Headers],[PMT NO]])&gt;ScheduledNumberOfPayments,"",ROW()-ROW(PaymentSchedule[[#Headers],[PMT NO]])),"")</f>
        <v>97</v>
      </c>
      <c r="C116" s="5">
        <f>IF(PaymentSchedule[[#This Row],[PMT NO]]&lt;&gt;"",EOMONTH(LoanStartDate,ROW(PaymentSchedule[[#This Row],[PMT NO]])-ROW(PaymentSchedule[[#Headers],[PMT NO]])-2)+DAY(LoanStartDate),"")</f>
        <v>46997</v>
      </c>
      <c r="D116" s="7">
        <f>IF(PaymentSchedule[[#This Row],[PMT NO]]&lt;&gt;"",IF(ROW()-ROW(PaymentSchedule[[#Headers],[BEGINNING BALANCE]])=1,LoanAmount,INDEX([ENDING BALANCE],ROW()-ROW(PaymentSchedule[[#Headers],[BEGINNING BALANCE]])-1)),"")</f>
        <v>101780.45650576657</v>
      </c>
      <c r="E116" s="7">
        <f>IF(PaymentSchedule[[#This Row],[PMT NO]]&lt;&gt;"",ScheduledPayment,"")</f>
        <v>608.02237179106271</v>
      </c>
      <c r="F11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1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16" s="7">
        <f>IF(PaymentSchedule[[#This Row],[PMT NO]]&lt;&gt;"",PaymentSchedule[[#This Row],[TOTAL PAYMENT]]-PaymentSchedule[[#This Row],[INTEREST]],"")</f>
        <v>226.34565989443809</v>
      </c>
      <c r="I116" s="7">
        <f>IF(PaymentSchedule[[#This Row],[PMT NO]]&lt;&gt;"",PaymentSchedule[[#This Row],[BEGINNING BALANCE]]*(InterestRate/PaymentsPerYear),"")</f>
        <v>381.67671189662462</v>
      </c>
      <c r="J116" s="7">
        <f>IF(PaymentSchedule[[#This Row],[PMT NO]]&lt;&gt;"",IF(PaymentSchedule[[#This Row],[SCHEDULED PAYMENT]]+PaymentSchedule[[#This Row],[EXTRA PAYMENT]]&lt;=PaymentSchedule[[#This Row],[BEGINNING BALANCE]],PaymentSchedule[[#This Row],[BEGINNING BALANCE]]-PaymentSchedule[[#This Row],[PRINCIPAL]],0),"")</f>
        <v>101554.11084587214</v>
      </c>
      <c r="K116" s="7">
        <f>IF(PaymentSchedule[[#This Row],[PMT NO]]&lt;&gt;"",SUM(INDEX([INTEREST],1,1):PaymentSchedule[[#This Row],[INTEREST]]),"")</f>
        <v>40532.280909605208</v>
      </c>
    </row>
    <row r="117" spans="2:11">
      <c r="B117" s="4">
        <f>IF(LoanIsGood,IF(ROW()-ROW(PaymentSchedule[[#Headers],[PMT NO]])&gt;ScheduledNumberOfPayments,"",ROW()-ROW(PaymentSchedule[[#Headers],[PMT NO]])),"")</f>
        <v>98</v>
      </c>
      <c r="C117" s="5">
        <f>IF(PaymentSchedule[[#This Row],[PMT NO]]&lt;&gt;"",EOMONTH(LoanStartDate,ROW(PaymentSchedule[[#This Row],[PMT NO]])-ROW(PaymentSchedule[[#Headers],[PMT NO]])-2)+DAY(LoanStartDate),"")</f>
        <v>47027</v>
      </c>
      <c r="D117" s="7">
        <f>IF(PaymentSchedule[[#This Row],[PMT NO]]&lt;&gt;"",IF(ROW()-ROW(PaymentSchedule[[#Headers],[BEGINNING BALANCE]])=1,LoanAmount,INDEX([ENDING BALANCE],ROW()-ROW(PaymentSchedule[[#Headers],[BEGINNING BALANCE]])-1)),"")</f>
        <v>101554.11084587214</v>
      </c>
      <c r="E117" s="7">
        <f>IF(PaymentSchedule[[#This Row],[PMT NO]]&lt;&gt;"",ScheduledPayment,"")</f>
        <v>608.02237179106271</v>
      </c>
      <c r="F11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1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17" s="7">
        <f>IF(PaymentSchedule[[#This Row],[PMT NO]]&lt;&gt;"",PaymentSchedule[[#This Row],[TOTAL PAYMENT]]-PaymentSchedule[[#This Row],[INTEREST]],"")</f>
        <v>227.19445611904217</v>
      </c>
      <c r="I117" s="7">
        <f>IF(PaymentSchedule[[#This Row],[PMT NO]]&lt;&gt;"",PaymentSchedule[[#This Row],[BEGINNING BALANCE]]*(InterestRate/PaymentsPerYear),"")</f>
        <v>380.82791567202054</v>
      </c>
      <c r="J117" s="7">
        <f>IF(PaymentSchedule[[#This Row],[PMT NO]]&lt;&gt;"",IF(PaymentSchedule[[#This Row],[SCHEDULED PAYMENT]]+PaymentSchedule[[#This Row],[EXTRA PAYMENT]]&lt;=PaymentSchedule[[#This Row],[BEGINNING BALANCE]],PaymentSchedule[[#This Row],[BEGINNING BALANCE]]-PaymentSchedule[[#This Row],[PRINCIPAL]],0),"")</f>
        <v>101326.9163897531</v>
      </c>
      <c r="K117" s="7">
        <f>IF(PaymentSchedule[[#This Row],[PMT NO]]&lt;&gt;"",SUM(INDEX([INTEREST],1,1):PaymentSchedule[[#This Row],[INTEREST]]),"")</f>
        <v>40913.108825277232</v>
      </c>
    </row>
    <row r="118" spans="2:11">
      <c r="B118" s="4">
        <f>IF(LoanIsGood,IF(ROW()-ROW(PaymentSchedule[[#Headers],[PMT NO]])&gt;ScheduledNumberOfPayments,"",ROW()-ROW(PaymentSchedule[[#Headers],[PMT NO]])),"")</f>
        <v>99</v>
      </c>
      <c r="C118" s="5">
        <f>IF(PaymentSchedule[[#This Row],[PMT NO]]&lt;&gt;"",EOMONTH(LoanStartDate,ROW(PaymentSchedule[[#This Row],[PMT NO]])-ROW(PaymentSchedule[[#Headers],[PMT NO]])-2)+DAY(LoanStartDate),"")</f>
        <v>47058</v>
      </c>
      <c r="D118" s="7">
        <f>IF(PaymentSchedule[[#This Row],[PMT NO]]&lt;&gt;"",IF(ROW()-ROW(PaymentSchedule[[#Headers],[BEGINNING BALANCE]])=1,LoanAmount,INDEX([ENDING BALANCE],ROW()-ROW(PaymentSchedule[[#Headers],[BEGINNING BALANCE]])-1)),"")</f>
        <v>101326.9163897531</v>
      </c>
      <c r="E118" s="7">
        <f>IF(PaymentSchedule[[#This Row],[PMT NO]]&lt;&gt;"",ScheduledPayment,"")</f>
        <v>608.02237179106271</v>
      </c>
      <c r="F11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1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18" s="7">
        <f>IF(PaymentSchedule[[#This Row],[PMT NO]]&lt;&gt;"",PaymentSchedule[[#This Row],[TOTAL PAYMENT]]-PaymentSchedule[[#This Row],[INTEREST]],"")</f>
        <v>228.04643532948859</v>
      </c>
      <c r="I118" s="7">
        <f>IF(PaymentSchedule[[#This Row],[PMT NO]]&lt;&gt;"",PaymentSchedule[[#This Row],[BEGINNING BALANCE]]*(InterestRate/PaymentsPerYear),"")</f>
        <v>379.97593646157412</v>
      </c>
      <c r="J118" s="7">
        <f>IF(PaymentSchedule[[#This Row],[PMT NO]]&lt;&gt;"",IF(PaymentSchedule[[#This Row],[SCHEDULED PAYMENT]]+PaymentSchedule[[#This Row],[EXTRA PAYMENT]]&lt;=PaymentSchedule[[#This Row],[BEGINNING BALANCE]],PaymentSchedule[[#This Row],[BEGINNING BALANCE]]-PaymentSchedule[[#This Row],[PRINCIPAL]],0),"")</f>
        <v>101098.8699544236</v>
      </c>
      <c r="K118" s="7">
        <f>IF(PaymentSchedule[[#This Row],[PMT NO]]&lt;&gt;"",SUM(INDEX([INTEREST],1,1):PaymentSchedule[[#This Row],[INTEREST]]),"")</f>
        <v>41293.084761738806</v>
      </c>
    </row>
    <row r="119" spans="2:11">
      <c r="B119" s="4">
        <f>IF(LoanIsGood,IF(ROW()-ROW(PaymentSchedule[[#Headers],[PMT NO]])&gt;ScheduledNumberOfPayments,"",ROW()-ROW(PaymentSchedule[[#Headers],[PMT NO]])),"")</f>
        <v>100</v>
      </c>
      <c r="C119" s="5">
        <f>IF(PaymentSchedule[[#This Row],[PMT NO]]&lt;&gt;"",EOMONTH(LoanStartDate,ROW(PaymentSchedule[[#This Row],[PMT NO]])-ROW(PaymentSchedule[[#Headers],[PMT NO]])-2)+DAY(LoanStartDate),"")</f>
        <v>47088</v>
      </c>
      <c r="D119" s="7">
        <f>IF(PaymentSchedule[[#This Row],[PMT NO]]&lt;&gt;"",IF(ROW()-ROW(PaymentSchedule[[#Headers],[BEGINNING BALANCE]])=1,LoanAmount,INDEX([ENDING BALANCE],ROW()-ROW(PaymentSchedule[[#Headers],[BEGINNING BALANCE]])-1)),"")</f>
        <v>101098.8699544236</v>
      </c>
      <c r="E119" s="7">
        <f>IF(PaymentSchedule[[#This Row],[PMT NO]]&lt;&gt;"",ScheduledPayment,"")</f>
        <v>608.02237179106271</v>
      </c>
      <c r="F11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1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19" s="7">
        <f>IF(PaymentSchedule[[#This Row],[PMT NO]]&lt;&gt;"",PaymentSchedule[[#This Row],[TOTAL PAYMENT]]-PaymentSchedule[[#This Row],[INTEREST]],"")</f>
        <v>228.9016094619742</v>
      </c>
      <c r="I119" s="7">
        <f>IF(PaymentSchedule[[#This Row],[PMT NO]]&lt;&gt;"",PaymentSchedule[[#This Row],[BEGINNING BALANCE]]*(InterestRate/PaymentsPerYear),"")</f>
        <v>379.12076232908851</v>
      </c>
      <c r="J119" s="7">
        <f>IF(PaymentSchedule[[#This Row],[PMT NO]]&lt;&gt;"",IF(PaymentSchedule[[#This Row],[SCHEDULED PAYMENT]]+PaymentSchedule[[#This Row],[EXTRA PAYMENT]]&lt;=PaymentSchedule[[#This Row],[BEGINNING BALANCE]],PaymentSchedule[[#This Row],[BEGINNING BALANCE]]-PaymentSchedule[[#This Row],[PRINCIPAL]],0),"")</f>
        <v>100869.96834496163</v>
      </c>
      <c r="K119" s="7">
        <f>IF(PaymentSchedule[[#This Row],[PMT NO]]&lt;&gt;"",SUM(INDEX([INTEREST],1,1):PaymentSchedule[[#This Row],[INTEREST]]),"")</f>
        <v>41672.205524067896</v>
      </c>
    </row>
    <row r="120" spans="2:11">
      <c r="B120" s="4">
        <f>IF(LoanIsGood,IF(ROW()-ROW(PaymentSchedule[[#Headers],[PMT NO]])&gt;ScheduledNumberOfPayments,"",ROW()-ROW(PaymentSchedule[[#Headers],[PMT NO]])),"")</f>
        <v>101</v>
      </c>
      <c r="C120" s="5">
        <f>IF(PaymentSchedule[[#This Row],[PMT NO]]&lt;&gt;"",EOMONTH(LoanStartDate,ROW(PaymentSchedule[[#This Row],[PMT NO]])-ROW(PaymentSchedule[[#Headers],[PMT NO]])-2)+DAY(LoanStartDate),"")</f>
        <v>47119</v>
      </c>
      <c r="D120" s="7">
        <f>IF(PaymentSchedule[[#This Row],[PMT NO]]&lt;&gt;"",IF(ROW()-ROW(PaymentSchedule[[#Headers],[BEGINNING BALANCE]])=1,LoanAmount,INDEX([ENDING BALANCE],ROW()-ROW(PaymentSchedule[[#Headers],[BEGINNING BALANCE]])-1)),"")</f>
        <v>100869.96834496163</v>
      </c>
      <c r="E120" s="7">
        <f>IF(PaymentSchedule[[#This Row],[PMT NO]]&lt;&gt;"",ScheduledPayment,"")</f>
        <v>608.02237179106271</v>
      </c>
      <c r="F12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2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20" s="7">
        <f>IF(PaymentSchedule[[#This Row],[PMT NO]]&lt;&gt;"",PaymentSchedule[[#This Row],[TOTAL PAYMENT]]-PaymentSchedule[[#This Row],[INTEREST]],"")</f>
        <v>229.75999049745661</v>
      </c>
      <c r="I120" s="7">
        <f>IF(PaymentSchedule[[#This Row],[PMT NO]]&lt;&gt;"",PaymentSchedule[[#This Row],[BEGINNING BALANCE]]*(InterestRate/PaymentsPerYear),"")</f>
        <v>378.2623812936061</v>
      </c>
      <c r="J120" s="7">
        <f>IF(PaymentSchedule[[#This Row],[PMT NO]]&lt;&gt;"",IF(PaymentSchedule[[#This Row],[SCHEDULED PAYMENT]]+PaymentSchedule[[#This Row],[EXTRA PAYMENT]]&lt;=PaymentSchedule[[#This Row],[BEGINNING BALANCE]],PaymentSchedule[[#This Row],[BEGINNING BALANCE]]-PaymentSchedule[[#This Row],[PRINCIPAL]],0),"")</f>
        <v>100640.20835446416</v>
      </c>
      <c r="K120" s="7">
        <f>IF(PaymentSchedule[[#This Row],[PMT NO]]&lt;&gt;"",SUM(INDEX([INTEREST],1,1):PaymentSchedule[[#This Row],[INTEREST]]),"")</f>
        <v>42050.467905361504</v>
      </c>
    </row>
    <row r="121" spans="2:11">
      <c r="B121" s="4">
        <f>IF(LoanIsGood,IF(ROW()-ROW(PaymentSchedule[[#Headers],[PMT NO]])&gt;ScheduledNumberOfPayments,"",ROW()-ROW(PaymentSchedule[[#Headers],[PMT NO]])),"")</f>
        <v>102</v>
      </c>
      <c r="C121" s="5">
        <f>IF(PaymentSchedule[[#This Row],[PMT NO]]&lt;&gt;"",EOMONTH(LoanStartDate,ROW(PaymentSchedule[[#This Row],[PMT NO]])-ROW(PaymentSchedule[[#Headers],[PMT NO]])-2)+DAY(LoanStartDate),"")</f>
        <v>47150</v>
      </c>
      <c r="D121" s="7">
        <f>IF(PaymentSchedule[[#This Row],[PMT NO]]&lt;&gt;"",IF(ROW()-ROW(PaymentSchedule[[#Headers],[BEGINNING BALANCE]])=1,LoanAmount,INDEX([ENDING BALANCE],ROW()-ROW(PaymentSchedule[[#Headers],[BEGINNING BALANCE]])-1)),"")</f>
        <v>100640.20835446416</v>
      </c>
      <c r="E121" s="7">
        <f>IF(PaymentSchedule[[#This Row],[PMT NO]]&lt;&gt;"",ScheduledPayment,"")</f>
        <v>608.02237179106271</v>
      </c>
      <c r="F12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2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21" s="7">
        <f>IF(PaymentSchedule[[#This Row],[PMT NO]]&lt;&gt;"",PaymentSchedule[[#This Row],[TOTAL PAYMENT]]-PaymentSchedule[[#This Row],[INTEREST]],"")</f>
        <v>230.62159046182211</v>
      </c>
      <c r="I121" s="7">
        <f>IF(PaymentSchedule[[#This Row],[PMT NO]]&lt;&gt;"",PaymentSchedule[[#This Row],[BEGINNING BALANCE]]*(InterestRate/PaymentsPerYear),"")</f>
        <v>377.4007813292406</v>
      </c>
      <c r="J121" s="7">
        <f>IF(PaymentSchedule[[#This Row],[PMT NO]]&lt;&gt;"",IF(PaymentSchedule[[#This Row],[SCHEDULED PAYMENT]]+PaymentSchedule[[#This Row],[EXTRA PAYMENT]]&lt;=PaymentSchedule[[#This Row],[BEGINNING BALANCE]],PaymentSchedule[[#This Row],[BEGINNING BALANCE]]-PaymentSchedule[[#This Row],[PRINCIPAL]],0),"")</f>
        <v>100409.58676400234</v>
      </c>
      <c r="K121" s="7">
        <f>IF(PaymentSchedule[[#This Row],[PMT NO]]&lt;&gt;"",SUM(INDEX([INTEREST],1,1):PaymentSchedule[[#This Row],[INTEREST]]),"")</f>
        <v>42427.868686690745</v>
      </c>
    </row>
    <row r="122" spans="2:11">
      <c r="B122" s="4">
        <f>IF(LoanIsGood,IF(ROW()-ROW(PaymentSchedule[[#Headers],[PMT NO]])&gt;ScheduledNumberOfPayments,"",ROW()-ROW(PaymentSchedule[[#Headers],[PMT NO]])),"")</f>
        <v>103</v>
      </c>
      <c r="C122" s="5">
        <f>IF(PaymentSchedule[[#This Row],[PMT NO]]&lt;&gt;"",EOMONTH(LoanStartDate,ROW(PaymentSchedule[[#This Row],[PMT NO]])-ROW(PaymentSchedule[[#Headers],[PMT NO]])-2)+DAY(LoanStartDate),"")</f>
        <v>47178</v>
      </c>
      <c r="D122" s="7">
        <f>IF(PaymentSchedule[[#This Row],[PMT NO]]&lt;&gt;"",IF(ROW()-ROW(PaymentSchedule[[#Headers],[BEGINNING BALANCE]])=1,LoanAmount,INDEX([ENDING BALANCE],ROW()-ROW(PaymentSchedule[[#Headers],[BEGINNING BALANCE]])-1)),"")</f>
        <v>100409.58676400234</v>
      </c>
      <c r="E122" s="7">
        <f>IF(PaymentSchedule[[#This Row],[PMT NO]]&lt;&gt;"",ScheduledPayment,"")</f>
        <v>608.02237179106271</v>
      </c>
      <c r="F12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2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22" s="7">
        <f>IF(PaymentSchedule[[#This Row],[PMT NO]]&lt;&gt;"",PaymentSchedule[[#This Row],[TOTAL PAYMENT]]-PaymentSchedule[[#This Row],[INTEREST]],"")</f>
        <v>231.48642142605399</v>
      </c>
      <c r="I122" s="7">
        <f>IF(PaymentSchedule[[#This Row],[PMT NO]]&lt;&gt;"",PaymentSchedule[[#This Row],[BEGINNING BALANCE]]*(InterestRate/PaymentsPerYear),"")</f>
        <v>376.53595036500872</v>
      </c>
      <c r="J122" s="7">
        <f>IF(PaymentSchedule[[#This Row],[PMT NO]]&lt;&gt;"",IF(PaymentSchedule[[#This Row],[SCHEDULED PAYMENT]]+PaymentSchedule[[#This Row],[EXTRA PAYMENT]]&lt;=PaymentSchedule[[#This Row],[BEGINNING BALANCE]],PaymentSchedule[[#This Row],[BEGINNING BALANCE]]-PaymentSchedule[[#This Row],[PRINCIPAL]],0),"")</f>
        <v>100178.10034257628</v>
      </c>
      <c r="K122" s="7">
        <f>IF(PaymentSchedule[[#This Row],[PMT NO]]&lt;&gt;"",SUM(INDEX([INTEREST],1,1):PaymentSchedule[[#This Row],[INTEREST]]),"")</f>
        <v>42804.404637055755</v>
      </c>
    </row>
    <row r="123" spans="2:11">
      <c r="B123" s="4">
        <f>IF(LoanIsGood,IF(ROW()-ROW(PaymentSchedule[[#Headers],[PMT NO]])&gt;ScheduledNumberOfPayments,"",ROW()-ROW(PaymentSchedule[[#Headers],[PMT NO]])),"")</f>
        <v>104</v>
      </c>
      <c r="C123" s="5">
        <f>IF(PaymentSchedule[[#This Row],[PMT NO]]&lt;&gt;"",EOMONTH(LoanStartDate,ROW(PaymentSchedule[[#This Row],[PMT NO]])-ROW(PaymentSchedule[[#Headers],[PMT NO]])-2)+DAY(LoanStartDate),"")</f>
        <v>47209</v>
      </c>
      <c r="D123" s="7">
        <f>IF(PaymentSchedule[[#This Row],[PMT NO]]&lt;&gt;"",IF(ROW()-ROW(PaymentSchedule[[#Headers],[BEGINNING BALANCE]])=1,LoanAmount,INDEX([ENDING BALANCE],ROW()-ROW(PaymentSchedule[[#Headers],[BEGINNING BALANCE]])-1)),"")</f>
        <v>100178.10034257628</v>
      </c>
      <c r="E123" s="7">
        <f>IF(PaymentSchedule[[#This Row],[PMT NO]]&lt;&gt;"",ScheduledPayment,"")</f>
        <v>608.02237179106271</v>
      </c>
      <c r="F12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2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23" s="7">
        <f>IF(PaymentSchedule[[#This Row],[PMT NO]]&lt;&gt;"",PaymentSchedule[[#This Row],[TOTAL PAYMENT]]-PaymentSchedule[[#This Row],[INTEREST]],"")</f>
        <v>232.35449550640169</v>
      </c>
      <c r="I123" s="7">
        <f>IF(PaymentSchedule[[#This Row],[PMT NO]]&lt;&gt;"",PaymentSchedule[[#This Row],[BEGINNING BALANCE]]*(InterestRate/PaymentsPerYear),"")</f>
        <v>375.66787628466102</v>
      </c>
      <c r="J123" s="7">
        <f>IF(PaymentSchedule[[#This Row],[PMT NO]]&lt;&gt;"",IF(PaymentSchedule[[#This Row],[SCHEDULED PAYMENT]]+PaymentSchedule[[#This Row],[EXTRA PAYMENT]]&lt;=PaymentSchedule[[#This Row],[BEGINNING BALANCE]],PaymentSchedule[[#This Row],[BEGINNING BALANCE]]-PaymentSchedule[[#This Row],[PRINCIPAL]],0),"")</f>
        <v>99945.745847069877</v>
      </c>
      <c r="K123" s="7">
        <f>IF(PaymentSchedule[[#This Row],[PMT NO]]&lt;&gt;"",SUM(INDEX([INTEREST],1,1):PaymentSchedule[[#This Row],[INTEREST]]),"")</f>
        <v>43180.072513340419</v>
      </c>
    </row>
    <row r="124" spans="2:11">
      <c r="B124" s="4">
        <f>IF(LoanIsGood,IF(ROW()-ROW(PaymentSchedule[[#Headers],[PMT NO]])&gt;ScheduledNumberOfPayments,"",ROW()-ROW(PaymentSchedule[[#Headers],[PMT NO]])),"")</f>
        <v>105</v>
      </c>
      <c r="C124" s="5">
        <f>IF(PaymentSchedule[[#This Row],[PMT NO]]&lt;&gt;"",EOMONTH(LoanStartDate,ROW(PaymentSchedule[[#This Row],[PMT NO]])-ROW(PaymentSchedule[[#Headers],[PMT NO]])-2)+DAY(LoanStartDate),"")</f>
        <v>47239</v>
      </c>
      <c r="D124" s="7">
        <f>IF(PaymentSchedule[[#This Row],[PMT NO]]&lt;&gt;"",IF(ROW()-ROW(PaymentSchedule[[#Headers],[BEGINNING BALANCE]])=1,LoanAmount,INDEX([ENDING BALANCE],ROW()-ROW(PaymentSchedule[[#Headers],[BEGINNING BALANCE]])-1)),"")</f>
        <v>99945.745847069877</v>
      </c>
      <c r="E124" s="7">
        <f>IF(PaymentSchedule[[#This Row],[PMT NO]]&lt;&gt;"",ScheduledPayment,"")</f>
        <v>608.02237179106271</v>
      </c>
      <c r="F12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2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24" s="7">
        <f>IF(PaymentSchedule[[#This Row],[PMT NO]]&lt;&gt;"",PaymentSchedule[[#This Row],[TOTAL PAYMENT]]-PaymentSchedule[[#This Row],[INTEREST]],"")</f>
        <v>233.2258248645507</v>
      </c>
      <c r="I124" s="7">
        <f>IF(PaymentSchedule[[#This Row],[PMT NO]]&lt;&gt;"",PaymentSchedule[[#This Row],[BEGINNING BALANCE]]*(InterestRate/PaymentsPerYear),"")</f>
        <v>374.79654692651201</v>
      </c>
      <c r="J124" s="7">
        <f>IF(PaymentSchedule[[#This Row],[PMT NO]]&lt;&gt;"",IF(PaymentSchedule[[#This Row],[SCHEDULED PAYMENT]]+PaymentSchedule[[#This Row],[EXTRA PAYMENT]]&lt;=PaymentSchedule[[#This Row],[BEGINNING BALANCE]],PaymentSchedule[[#This Row],[BEGINNING BALANCE]]-PaymentSchedule[[#This Row],[PRINCIPAL]],0),"")</f>
        <v>99712.520022205324</v>
      </c>
      <c r="K124" s="7">
        <f>IF(PaymentSchedule[[#This Row],[PMT NO]]&lt;&gt;"",SUM(INDEX([INTEREST],1,1):PaymentSchedule[[#This Row],[INTEREST]]),"")</f>
        <v>43554.86906026693</v>
      </c>
    </row>
    <row r="125" spans="2:11">
      <c r="B125" s="4">
        <f>IF(LoanIsGood,IF(ROW()-ROW(PaymentSchedule[[#Headers],[PMT NO]])&gt;ScheduledNumberOfPayments,"",ROW()-ROW(PaymentSchedule[[#Headers],[PMT NO]])),"")</f>
        <v>106</v>
      </c>
      <c r="C125" s="5">
        <f>IF(PaymentSchedule[[#This Row],[PMT NO]]&lt;&gt;"",EOMONTH(LoanStartDate,ROW(PaymentSchedule[[#This Row],[PMT NO]])-ROW(PaymentSchedule[[#Headers],[PMT NO]])-2)+DAY(LoanStartDate),"")</f>
        <v>47270</v>
      </c>
      <c r="D125" s="7">
        <f>IF(PaymentSchedule[[#This Row],[PMT NO]]&lt;&gt;"",IF(ROW()-ROW(PaymentSchedule[[#Headers],[BEGINNING BALANCE]])=1,LoanAmount,INDEX([ENDING BALANCE],ROW()-ROW(PaymentSchedule[[#Headers],[BEGINNING BALANCE]])-1)),"")</f>
        <v>99712.520022205324</v>
      </c>
      <c r="E125" s="7">
        <f>IF(PaymentSchedule[[#This Row],[PMT NO]]&lt;&gt;"",ScheduledPayment,"")</f>
        <v>608.02237179106271</v>
      </c>
      <c r="F12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2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25" s="7">
        <f>IF(PaymentSchedule[[#This Row],[PMT NO]]&lt;&gt;"",PaymentSchedule[[#This Row],[TOTAL PAYMENT]]-PaymentSchedule[[#This Row],[INTEREST]],"")</f>
        <v>234.10042170779275</v>
      </c>
      <c r="I125" s="7">
        <f>IF(PaymentSchedule[[#This Row],[PMT NO]]&lt;&gt;"",PaymentSchedule[[#This Row],[BEGINNING BALANCE]]*(InterestRate/PaymentsPerYear),"")</f>
        <v>373.92195008326996</v>
      </c>
      <c r="J125" s="7">
        <f>IF(PaymentSchedule[[#This Row],[PMT NO]]&lt;&gt;"",IF(PaymentSchedule[[#This Row],[SCHEDULED PAYMENT]]+PaymentSchedule[[#This Row],[EXTRA PAYMENT]]&lt;=PaymentSchedule[[#This Row],[BEGINNING BALANCE]],PaymentSchedule[[#This Row],[BEGINNING BALANCE]]-PaymentSchedule[[#This Row],[PRINCIPAL]],0),"")</f>
        <v>99478.419600497538</v>
      </c>
      <c r="K125" s="7">
        <f>IF(PaymentSchedule[[#This Row],[PMT NO]]&lt;&gt;"",SUM(INDEX([INTEREST],1,1):PaymentSchedule[[#This Row],[INTEREST]]),"")</f>
        <v>43928.7910103502</v>
      </c>
    </row>
    <row r="126" spans="2:11">
      <c r="B126" s="4">
        <f>IF(LoanIsGood,IF(ROW()-ROW(PaymentSchedule[[#Headers],[PMT NO]])&gt;ScheduledNumberOfPayments,"",ROW()-ROW(PaymentSchedule[[#Headers],[PMT NO]])),"")</f>
        <v>107</v>
      </c>
      <c r="C126" s="5">
        <f>IF(PaymentSchedule[[#This Row],[PMT NO]]&lt;&gt;"",EOMONTH(LoanStartDate,ROW(PaymentSchedule[[#This Row],[PMT NO]])-ROW(PaymentSchedule[[#Headers],[PMT NO]])-2)+DAY(LoanStartDate),"")</f>
        <v>47300</v>
      </c>
      <c r="D126" s="7">
        <f>IF(PaymentSchedule[[#This Row],[PMT NO]]&lt;&gt;"",IF(ROW()-ROW(PaymentSchedule[[#Headers],[BEGINNING BALANCE]])=1,LoanAmount,INDEX([ENDING BALANCE],ROW()-ROW(PaymentSchedule[[#Headers],[BEGINNING BALANCE]])-1)),"")</f>
        <v>99478.419600497538</v>
      </c>
      <c r="E126" s="7">
        <f>IF(PaymentSchedule[[#This Row],[PMT NO]]&lt;&gt;"",ScheduledPayment,"")</f>
        <v>608.02237179106271</v>
      </c>
      <c r="F12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2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26" s="7">
        <f>IF(PaymentSchedule[[#This Row],[PMT NO]]&lt;&gt;"",PaymentSchedule[[#This Row],[TOTAL PAYMENT]]-PaymentSchedule[[#This Row],[INTEREST]],"")</f>
        <v>234.97829828919697</v>
      </c>
      <c r="I126" s="7">
        <f>IF(PaymentSchedule[[#This Row],[PMT NO]]&lt;&gt;"",PaymentSchedule[[#This Row],[BEGINNING BALANCE]]*(InterestRate/PaymentsPerYear),"")</f>
        <v>373.04407350186574</v>
      </c>
      <c r="J126" s="7">
        <f>IF(PaymentSchedule[[#This Row],[PMT NO]]&lt;&gt;"",IF(PaymentSchedule[[#This Row],[SCHEDULED PAYMENT]]+PaymentSchedule[[#This Row],[EXTRA PAYMENT]]&lt;=PaymentSchedule[[#This Row],[BEGINNING BALANCE]],PaymentSchedule[[#This Row],[BEGINNING BALANCE]]-PaymentSchedule[[#This Row],[PRINCIPAL]],0),"")</f>
        <v>99243.441302208346</v>
      </c>
      <c r="K126" s="7">
        <f>IF(PaymentSchedule[[#This Row],[PMT NO]]&lt;&gt;"",SUM(INDEX([INTEREST],1,1):PaymentSchedule[[#This Row],[INTEREST]]),"")</f>
        <v>44301.835083852064</v>
      </c>
    </row>
    <row r="127" spans="2:11">
      <c r="B127" s="4">
        <f>IF(LoanIsGood,IF(ROW()-ROW(PaymentSchedule[[#Headers],[PMT NO]])&gt;ScheduledNumberOfPayments,"",ROW()-ROW(PaymentSchedule[[#Headers],[PMT NO]])),"")</f>
        <v>108</v>
      </c>
      <c r="C127" s="5">
        <f>IF(PaymentSchedule[[#This Row],[PMT NO]]&lt;&gt;"",EOMONTH(LoanStartDate,ROW(PaymentSchedule[[#This Row],[PMT NO]])-ROW(PaymentSchedule[[#Headers],[PMT NO]])-2)+DAY(LoanStartDate),"")</f>
        <v>47331</v>
      </c>
      <c r="D127" s="7">
        <f>IF(PaymentSchedule[[#This Row],[PMT NO]]&lt;&gt;"",IF(ROW()-ROW(PaymentSchedule[[#Headers],[BEGINNING BALANCE]])=1,LoanAmount,INDEX([ENDING BALANCE],ROW()-ROW(PaymentSchedule[[#Headers],[BEGINNING BALANCE]])-1)),"")</f>
        <v>99243.441302208346</v>
      </c>
      <c r="E127" s="7">
        <f>IF(PaymentSchedule[[#This Row],[PMT NO]]&lt;&gt;"",ScheduledPayment,"")</f>
        <v>608.02237179106271</v>
      </c>
      <c r="F12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2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27" s="7">
        <f>IF(PaymentSchedule[[#This Row],[PMT NO]]&lt;&gt;"",PaymentSchedule[[#This Row],[TOTAL PAYMENT]]-PaymentSchedule[[#This Row],[INTEREST]],"")</f>
        <v>235.85946690778144</v>
      </c>
      <c r="I127" s="7">
        <f>IF(PaymentSchedule[[#This Row],[PMT NO]]&lt;&gt;"",PaymentSchedule[[#This Row],[BEGINNING BALANCE]]*(InterestRate/PaymentsPerYear),"")</f>
        <v>372.16290488328127</v>
      </c>
      <c r="J127" s="7">
        <f>IF(PaymentSchedule[[#This Row],[PMT NO]]&lt;&gt;"",IF(PaymentSchedule[[#This Row],[SCHEDULED PAYMENT]]+PaymentSchedule[[#This Row],[EXTRA PAYMENT]]&lt;=PaymentSchedule[[#This Row],[BEGINNING BALANCE]],PaymentSchedule[[#This Row],[BEGINNING BALANCE]]-PaymentSchedule[[#This Row],[PRINCIPAL]],0),"")</f>
        <v>99007.58183530056</v>
      </c>
      <c r="K127" s="7">
        <f>IF(PaymentSchedule[[#This Row],[PMT NO]]&lt;&gt;"",SUM(INDEX([INTEREST],1,1):PaymentSchedule[[#This Row],[INTEREST]]),"")</f>
        <v>44673.997988735347</v>
      </c>
    </row>
    <row r="128" spans="2:11">
      <c r="B128" s="4">
        <f>IF(LoanIsGood,IF(ROW()-ROW(PaymentSchedule[[#Headers],[PMT NO]])&gt;ScheduledNumberOfPayments,"",ROW()-ROW(PaymentSchedule[[#Headers],[PMT NO]])),"")</f>
        <v>109</v>
      </c>
      <c r="C128" s="5">
        <f>IF(PaymentSchedule[[#This Row],[PMT NO]]&lt;&gt;"",EOMONTH(LoanStartDate,ROW(PaymentSchedule[[#This Row],[PMT NO]])-ROW(PaymentSchedule[[#Headers],[PMT NO]])-2)+DAY(LoanStartDate),"")</f>
        <v>47362</v>
      </c>
      <c r="D128" s="7">
        <f>IF(PaymentSchedule[[#This Row],[PMT NO]]&lt;&gt;"",IF(ROW()-ROW(PaymentSchedule[[#Headers],[BEGINNING BALANCE]])=1,LoanAmount,INDEX([ENDING BALANCE],ROW()-ROW(PaymentSchedule[[#Headers],[BEGINNING BALANCE]])-1)),"")</f>
        <v>99007.58183530056</v>
      </c>
      <c r="E128" s="7">
        <f>IF(PaymentSchedule[[#This Row],[PMT NO]]&lt;&gt;"",ScheduledPayment,"")</f>
        <v>608.02237179106271</v>
      </c>
      <c r="F12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2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28" s="7">
        <f>IF(PaymentSchedule[[#This Row],[PMT NO]]&lt;&gt;"",PaymentSchedule[[#This Row],[TOTAL PAYMENT]]-PaymentSchedule[[#This Row],[INTEREST]],"")</f>
        <v>236.7439399086856</v>
      </c>
      <c r="I128" s="7">
        <f>IF(PaymentSchedule[[#This Row],[PMT NO]]&lt;&gt;"",PaymentSchedule[[#This Row],[BEGINNING BALANCE]]*(InterestRate/PaymentsPerYear),"")</f>
        <v>371.27843188237711</v>
      </c>
      <c r="J128" s="7">
        <f>IF(PaymentSchedule[[#This Row],[PMT NO]]&lt;&gt;"",IF(PaymentSchedule[[#This Row],[SCHEDULED PAYMENT]]+PaymentSchedule[[#This Row],[EXTRA PAYMENT]]&lt;=PaymentSchedule[[#This Row],[BEGINNING BALANCE]],PaymentSchedule[[#This Row],[BEGINNING BALANCE]]-PaymentSchedule[[#This Row],[PRINCIPAL]],0),"")</f>
        <v>98770.837895391873</v>
      </c>
      <c r="K128" s="7">
        <f>IF(PaymentSchedule[[#This Row],[PMT NO]]&lt;&gt;"",SUM(INDEX([INTEREST],1,1):PaymentSchedule[[#This Row],[INTEREST]]),"")</f>
        <v>45045.276420617723</v>
      </c>
    </row>
    <row r="129" spans="2:11">
      <c r="B129" s="4">
        <f>IF(LoanIsGood,IF(ROW()-ROW(PaymentSchedule[[#Headers],[PMT NO]])&gt;ScheduledNumberOfPayments,"",ROW()-ROW(PaymentSchedule[[#Headers],[PMT NO]])),"")</f>
        <v>110</v>
      </c>
      <c r="C129" s="5">
        <f>IF(PaymentSchedule[[#This Row],[PMT NO]]&lt;&gt;"",EOMONTH(LoanStartDate,ROW(PaymentSchedule[[#This Row],[PMT NO]])-ROW(PaymentSchedule[[#Headers],[PMT NO]])-2)+DAY(LoanStartDate),"")</f>
        <v>47392</v>
      </c>
      <c r="D129" s="7">
        <f>IF(PaymentSchedule[[#This Row],[PMT NO]]&lt;&gt;"",IF(ROW()-ROW(PaymentSchedule[[#Headers],[BEGINNING BALANCE]])=1,LoanAmount,INDEX([ENDING BALANCE],ROW()-ROW(PaymentSchedule[[#Headers],[BEGINNING BALANCE]])-1)),"")</f>
        <v>98770.837895391873</v>
      </c>
      <c r="E129" s="7">
        <f>IF(PaymentSchedule[[#This Row],[PMT NO]]&lt;&gt;"",ScheduledPayment,"")</f>
        <v>608.02237179106271</v>
      </c>
      <c r="F12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2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29" s="7">
        <f>IF(PaymentSchedule[[#This Row],[PMT NO]]&lt;&gt;"",PaymentSchedule[[#This Row],[TOTAL PAYMENT]]-PaymentSchedule[[#This Row],[INTEREST]],"")</f>
        <v>237.63172968334322</v>
      </c>
      <c r="I129" s="7">
        <f>IF(PaymentSchedule[[#This Row],[PMT NO]]&lt;&gt;"",PaymentSchedule[[#This Row],[BEGINNING BALANCE]]*(InterestRate/PaymentsPerYear),"")</f>
        <v>370.39064210771949</v>
      </c>
      <c r="J129" s="7">
        <f>IF(PaymentSchedule[[#This Row],[PMT NO]]&lt;&gt;"",IF(PaymentSchedule[[#This Row],[SCHEDULED PAYMENT]]+PaymentSchedule[[#This Row],[EXTRA PAYMENT]]&lt;=PaymentSchedule[[#This Row],[BEGINNING BALANCE]],PaymentSchedule[[#This Row],[BEGINNING BALANCE]]-PaymentSchedule[[#This Row],[PRINCIPAL]],0),"")</f>
        <v>98533.206165708529</v>
      </c>
      <c r="K129" s="7">
        <f>IF(PaymentSchedule[[#This Row],[PMT NO]]&lt;&gt;"",SUM(INDEX([INTEREST],1,1):PaymentSchedule[[#This Row],[INTEREST]]),"")</f>
        <v>45415.667062725443</v>
      </c>
    </row>
    <row r="130" spans="2:11">
      <c r="B130" s="4">
        <f>IF(LoanIsGood,IF(ROW()-ROW(PaymentSchedule[[#Headers],[PMT NO]])&gt;ScheduledNumberOfPayments,"",ROW()-ROW(PaymentSchedule[[#Headers],[PMT NO]])),"")</f>
        <v>111</v>
      </c>
      <c r="C130" s="5">
        <f>IF(PaymentSchedule[[#This Row],[PMT NO]]&lt;&gt;"",EOMONTH(LoanStartDate,ROW(PaymentSchedule[[#This Row],[PMT NO]])-ROW(PaymentSchedule[[#Headers],[PMT NO]])-2)+DAY(LoanStartDate),"")</f>
        <v>47423</v>
      </c>
      <c r="D130" s="7">
        <f>IF(PaymentSchedule[[#This Row],[PMT NO]]&lt;&gt;"",IF(ROW()-ROW(PaymentSchedule[[#Headers],[BEGINNING BALANCE]])=1,LoanAmount,INDEX([ENDING BALANCE],ROW()-ROW(PaymentSchedule[[#Headers],[BEGINNING BALANCE]])-1)),"")</f>
        <v>98533.206165708529</v>
      </c>
      <c r="E130" s="7">
        <f>IF(PaymentSchedule[[#This Row],[PMT NO]]&lt;&gt;"",ScheduledPayment,"")</f>
        <v>608.02237179106271</v>
      </c>
      <c r="F13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3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30" s="7">
        <f>IF(PaymentSchedule[[#This Row],[PMT NO]]&lt;&gt;"",PaymentSchedule[[#This Row],[TOTAL PAYMENT]]-PaymentSchedule[[#This Row],[INTEREST]],"")</f>
        <v>238.52284866965573</v>
      </c>
      <c r="I130" s="7">
        <f>IF(PaymentSchedule[[#This Row],[PMT NO]]&lt;&gt;"",PaymentSchedule[[#This Row],[BEGINNING BALANCE]]*(InterestRate/PaymentsPerYear),"")</f>
        <v>369.49952312140698</v>
      </c>
      <c r="J130" s="7">
        <f>IF(PaymentSchedule[[#This Row],[PMT NO]]&lt;&gt;"",IF(PaymentSchedule[[#This Row],[SCHEDULED PAYMENT]]+PaymentSchedule[[#This Row],[EXTRA PAYMENT]]&lt;=PaymentSchedule[[#This Row],[BEGINNING BALANCE]],PaymentSchedule[[#This Row],[BEGINNING BALANCE]]-PaymentSchedule[[#This Row],[PRINCIPAL]],0),"")</f>
        <v>98294.683317038871</v>
      </c>
      <c r="K130" s="7">
        <f>IF(PaymentSchedule[[#This Row],[PMT NO]]&lt;&gt;"",SUM(INDEX([INTEREST],1,1):PaymentSchedule[[#This Row],[INTEREST]]),"")</f>
        <v>45785.166585846848</v>
      </c>
    </row>
    <row r="131" spans="2:11">
      <c r="B131" s="4">
        <f>IF(LoanIsGood,IF(ROW()-ROW(PaymentSchedule[[#Headers],[PMT NO]])&gt;ScheduledNumberOfPayments,"",ROW()-ROW(PaymentSchedule[[#Headers],[PMT NO]])),"")</f>
        <v>112</v>
      </c>
      <c r="C131" s="5">
        <f>IF(PaymentSchedule[[#This Row],[PMT NO]]&lt;&gt;"",EOMONTH(LoanStartDate,ROW(PaymentSchedule[[#This Row],[PMT NO]])-ROW(PaymentSchedule[[#Headers],[PMT NO]])-2)+DAY(LoanStartDate),"")</f>
        <v>47453</v>
      </c>
      <c r="D131" s="7">
        <f>IF(PaymentSchedule[[#This Row],[PMT NO]]&lt;&gt;"",IF(ROW()-ROW(PaymentSchedule[[#Headers],[BEGINNING BALANCE]])=1,LoanAmount,INDEX([ENDING BALANCE],ROW()-ROW(PaymentSchedule[[#Headers],[BEGINNING BALANCE]])-1)),"")</f>
        <v>98294.683317038871</v>
      </c>
      <c r="E131" s="7">
        <f>IF(PaymentSchedule[[#This Row],[PMT NO]]&lt;&gt;"",ScheduledPayment,"")</f>
        <v>608.02237179106271</v>
      </c>
      <c r="F13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3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31" s="7">
        <f>IF(PaymentSchedule[[#This Row],[PMT NO]]&lt;&gt;"",PaymentSchedule[[#This Row],[TOTAL PAYMENT]]-PaymentSchedule[[#This Row],[INTEREST]],"")</f>
        <v>239.41730935216697</v>
      </c>
      <c r="I131" s="7">
        <f>IF(PaymentSchedule[[#This Row],[PMT NO]]&lt;&gt;"",PaymentSchedule[[#This Row],[BEGINNING BALANCE]]*(InterestRate/PaymentsPerYear),"")</f>
        <v>368.60506243889574</v>
      </c>
      <c r="J131" s="7">
        <f>IF(PaymentSchedule[[#This Row],[PMT NO]]&lt;&gt;"",IF(PaymentSchedule[[#This Row],[SCHEDULED PAYMENT]]+PaymentSchedule[[#This Row],[EXTRA PAYMENT]]&lt;=PaymentSchedule[[#This Row],[BEGINNING BALANCE]],PaymentSchedule[[#This Row],[BEGINNING BALANCE]]-PaymentSchedule[[#This Row],[PRINCIPAL]],0),"")</f>
        <v>98055.266007686703</v>
      </c>
      <c r="K131" s="7">
        <f>IF(PaymentSchedule[[#This Row],[PMT NO]]&lt;&gt;"",SUM(INDEX([INTEREST],1,1):PaymentSchedule[[#This Row],[INTEREST]]),"")</f>
        <v>46153.771648285743</v>
      </c>
    </row>
    <row r="132" spans="2:11">
      <c r="B132" s="4">
        <f>IF(LoanIsGood,IF(ROW()-ROW(PaymentSchedule[[#Headers],[PMT NO]])&gt;ScheduledNumberOfPayments,"",ROW()-ROW(PaymentSchedule[[#Headers],[PMT NO]])),"")</f>
        <v>113</v>
      </c>
      <c r="C132" s="5">
        <f>IF(PaymentSchedule[[#This Row],[PMT NO]]&lt;&gt;"",EOMONTH(LoanStartDate,ROW(PaymentSchedule[[#This Row],[PMT NO]])-ROW(PaymentSchedule[[#Headers],[PMT NO]])-2)+DAY(LoanStartDate),"")</f>
        <v>47484</v>
      </c>
      <c r="D132" s="7">
        <f>IF(PaymentSchedule[[#This Row],[PMT NO]]&lt;&gt;"",IF(ROW()-ROW(PaymentSchedule[[#Headers],[BEGINNING BALANCE]])=1,LoanAmount,INDEX([ENDING BALANCE],ROW()-ROW(PaymentSchedule[[#Headers],[BEGINNING BALANCE]])-1)),"")</f>
        <v>98055.266007686703</v>
      </c>
      <c r="E132" s="7">
        <f>IF(PaymentSchedule[[#This Row],[PMT NO]]&lt;&gt;"",ScheduledPayment,"")</f>
        <v>608.02237179106271</v>
      </c>
      <c r="F13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3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32" s="7">
        <f>IF(PaymentSchedule[[#This Row],[PMT NO]]&lt;&gt;"",PaymentSchedule[[#This Row],[TOTAL PAYMENT]]-PaymentSchedule[[#This Row],[INTEREST]],"")</f>
        <v>240.31512426223759</v>
      </c>
      <c r="I132" s="7">
        <f>IF(PaymentSchedule[[#This Row],[PMT NO]]&lt;&gt;"",PaymentSchedule[[#This Row],[BEGINNING BALANCE]]*(InterestRate/PaymentsPerYear),"")</f>
        <v>367.70724752882512</v>
      </c>
      <c r="J132" s="7">
        <f>IF(PaymentSchedule[[#This Row],[PMT NO]]&lt;&gt;"",IF(PaymentSchedule[[#This Row],[SCHEDULED PAYMENT]]+PaymentSchedule[[#This Row],[EXTRA PAYMENT]]&lt;=PaymentSchedule[[#This Row],[BEGINNING BALANCE]],PaymentSchedule[[#This Row],[BEGINNING BALANCE]]-PaymentSchedule[[#This Row],[PRINCIPAL]],0),"")</f>
        <v>97814.950883424463</v>
      </c>
      <c r="K132" s="7">
        <f>IF(PaymentSchedule[[#This Row],[PMT NO]]&lt;&gt;"",SUM(INDEX([INTEREST],1,1):PaymentSchedule[[#This Row],[INTEREST]]),"")</f>
        <v>46521.478895814565</v>
      </c>
    </row>
    <row r="133" spans="2:11">
      <c r="B133" s="4">
        <f>IF(LoanIsGood,IF(ROW()-ROW(PaymentSchedule[[#Headers],[PMT NO]])&gt;ScheduledNumberOfPayments,"",ROW()-ROW(PaymentSchedule[[#Headers],[PMT NO]])),"")</f>
        <v>114</v>
      </c>
      <c r="C133" s="5">
        <f>IF(PaymentSchedule[[#This Row],[PMT NO]]&lt;&gt;"",EOMONTH(LoanStartDate,ROW(PaymentSchedule[[#This Row],[PMT NO]])-ROW(PaymentSchedule[[#Headers],[PMT NO]])-2)+DAY(LoanStartDate),"")</f>
        <v>47515</v>
      </c>
      <c r="D133" s="7">
        <f>IF(PaymentSchedule[[#This Row],[PMT NO]]&lt;&gt;"",IF(ROW()-ROW(PaymentSchedule[[#Headers],[BEGINNING BALANCE]])=1,LoanAmount,INDEX([ENDING BALANCE],ROW()-ROW(PaymentSchedule[[#Headers],[BEGINNING BALANCE]])-1)),"")</f>
        <v>97814.950883424463</v>
      </c>
      <c r="E133" s="7">
        <f>IF(PaymentSchedule[[#This Row],[PMT NO]]&lt;&gt;"",ScheduledPayment,"")</f>
        <v>608.02237179106271</v>
      </c>
      <c r="F13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3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33" s="7">
        <f>IF(PaymentSchedule[[#This Row],[PMT NO]]&lt;&gt;"",PaymentSchedule[[#This Row],[TOTAL PAYMENT]]-PaymentSchedule[[#This Row],[INTEREST]],"")</f>
        <v>241.21630597822099</v>
      </c>
      <c r="I133" s="7">
        <f>IF(PaymentSchedule[[#This Row],[PMT NO]]&lt;&gt;"",PaymentSchedule[[#This Row],[BEGINNING BALANCE]]*(InterestRate/PaymentsPerYear),"")</f>
        <v>366.80606581284172</v>
      </c>
      <c r="J133" s="7">
        <f>IF(PaymentSchedule[[#This Row],[PMT NO]]&lt;&gt;"",IF(PaymentSchedule[[#This Row],[SCHEDULED PAYMENT]]+PaymentSchedule[[#This Row],[EXTRA PAYMENT]]&lt;=PaymentSchedule[[#This Row],[BEGINNING BALANCE]],PaymentSchedule[[#This Row],[BEGINNING BALANCE]]-PaymentSchedule[[#This Row],[PRINCIPAL]],0),"")</f>
        <v>97573.734577446245</v>
      </c>
      <c r="K133" s="7">
        <f>IF(PaymentSchedule[[#This Row],[PMT NO]]&lt;&gt;"",SUM(INDEX([INTEREST],1,1):PaymentSchedule[[#This Row],[INTEREST]]),"")</f>
        <v>46888.284961627411</v>
      </c>
    </row>
    <row r="134" spans="2:11">
      <c r="B134" s="4">
        <f>IF(LoanIsGood,IF(ROW()-ROW(PaymentSchedule[[#Headers],[PMT NO]])&gt;ScheduledNumberOfPayments,"",ROW()-ROW(PaymentSchedule[[#Headers],[PMT NO]])),"")</f>
        <v>115</v>
      </c>
      <c r="C134" s="5">
        <f>IF(PaymentSchedule[[#This Row],[PMT NO]]&lt;&gt;"",EOMONTH(LoanStartDate,ROW(PaymentSchedule[[#This Row],[PMT NO]])-ROW(PaymentSchedule[[#Headers],[PMT NO]])-2)+DAY(LoanStartDate),"")</f>
        <v>47543</v>
      </c>
      <c r="D134" s="7">
        <f>IF(PaymentSchedule[[#This Row],[PMT NO]]&lt;&gt;"",IF(ROW()-ROW(PaymentSchedule[[#Headers],[BEGINNING BALANCE]])=1,LoanAmount,INDEX([ENDING BALANCE],ROW()-ROW(PaymentSchedule[[#Headers],[BEGINNING BALANCE]])-1)),"")</f>
        <v>97573.734577446245</v>
      </c>
      <c r="E134" s="7">
        <f>IF(PaymentSchedule[[#This Row],[PMT NO]]&lt;&gt;"",ScheduledPayment,"")</f>
        <v>608.02237179106271</v>
      </c>
      <c r="F13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3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34" s="7">
        <f>IF(PaymentSchedule[[#This Row],[PMT NO]]&lt;&gt;"",PaymentSchedule[[#This Row],[TOTAL PAYMENT]]-PaymentSchedule[[#This Row],[INTEREST]],"")</f>
        <v>242.12086712563928</v>
      </c>
      <c r="I134" s="7">
        <f>IF(PaymentSchedule[[#This Row],[PMT NO]]&lt;&gt;"",PaymentSchedule[[#This Row],[BEGINNING BALANCE]]*(InterestRate/PaymentsPerYear),"")</f>
        <v>365.90150466542343</v>
      </c>
      <c r="J134" s="7">
        <f>IF(PaymentSchedule[[#This Row],[PMT NO]]&lt;&gt;"",IF(PaymentSchedule[[#This Row],[SCHEDULED PAYMENT]]+PaymentSchedule[[#This Row],[EXTRA PAYMENT]]&lt;=PaymentSchedule[[#This Row],[BEGINNING BALANCE]],PaymentSchedule[[#This Row],[BEGINNING BALANCE]]-PaymentSchedule[[#This Row],[PRINCIPAL]],0),"")</f>
        <v>97331.613710320598</v>
      </c>
      <c r="K134" s="7">
        <f>IF(PaymentSchedule[[#This Row],[PMT NO]]&lt;&gt;"",SUM(INDEX([INTEREST],1,1):PaymentSchedule[[#This Row],[INTEREST]]),"")</f>
        <v>47254.186466292835</v>
      </c>
    </row>
    <row r="135" spans="2:11">
      <c r="B135" s="4">
        <f>IF(LoanIsGood,IF(ROW()-ROW(PaymentSchedule[[#Headers],[PMT NO]])&gt;ScheduledNumberOfPayments,"",ROW()-ROW(PaymentSchedule[[#Headers],[PMT NO]])),"")</f>
        <v>116</v>
      </c>
      <c r="C135" s="5">
        <f>IF(PaymentSchedule[[#This Row],[PMT NO]]&lt;&gt;"",EOMONTH(LoanStartDate,ROW(PaymentSchedule[[#This Row],[PMT NO]])-ROW(PaymentSchedule[[#Headers],[PMT NO]])-2)+DAY(LoanStartDate),"")</f>
        <v>47574</v>
      </c>
      <c r="D135" s="7">
        <f>IF(PaymentSchedule[[#This Row],[PMT NO]]&lt;&gt;"",IF(ROW()-ROW(PaymentSchedule[[#Headers],[BEGINNING BALANCE]])=1,LoanAmount,INDEX([ENDING BALANCE],ROW()-ROW(PaymentSchedule[[#Headers],[BEGINNING BALANCE]])-1)),"")</f>
        <v>97331.613710320598</v>
      </c>
      <c r="E135" s="7">
        <f>IF(PaymentSchedule[[#This Row],[PMT NO]]&lt;&gt;"",ScheduledPayment,"")</f>
        <v>608.02237179106271</v>
      </c>
      <c r="F13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3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35" s="7">
        <f>IF(PaymentSchedule[[#This Row],[PMT NO]]&lt;&gt;"",PaymentSchedule[[#This Row],[TOTAL PAYMENT]]-PaymentSchedule[[#This Row],[INTEREST]],"")</f>
        <v>243.02882037736049</v>
      </c>
      <c r="I135" s="7">
        <f>IF(PaymentSchedule[[#This Row],[PMT NO]]&lt;&gt;"",PaymentSchedule[[#This Row],[BEGINNING BALANCE]]*(InterestRate/PaymentsPerYear),"")</f>
        <v>364.99355141370222</v>
      </c>
      <c r="J135" s="7">
        <f>IF(PaymentSchedule[[#This Row],[PMT NO]]&lt;&gt;"",IF(PaymentSchedule[[#This Row],[SCHEDULED PAYMENT]]+PaymentSchedule[[#This Row],[EXTRA PAYMENT]]&lt;=PaymentSchedule[[#This Row],[BEGINNING BALANCE]],PaymentSchedule[[#This Row],[BEGINNING BALANCE]]-PaymentSchedule[[#This Row],[PRINCIPAL]],0),"")</f>
        <v>97088.584889943231</v>
      </c>
      <c r="K135" s="7">
        <f>IF(PaymentSchedule[[#This Row],[PMT NO]]&lt;&gt;"",SUM(INDEX([INTEREST],1,1):PaymentSchedule[[#This Row],[INTEREST]]),"")</f>
        <v>47619.180017706538</v>
      </c>
    </row>
    <row r="136" spans="2:11">
      <c r="B136" s="4">
        <f>IF(LoanIsGood,IF(ROW()-ROW(PaymentSchedule[[#Headers],[PMT NO]])&gt;ScheduledNumberOfPayments,"",ROW()-ROW(PaymentSchedule[[#Headers],[PMT NO]])),"")</f>
        <v>117</v>
      </c>
      <c r="C136" s="5">
        <f>IF(PaymentSchedule[[#This Row],[PMT NO]]&lt;&gt;"",EOMONTH(LoanStartDate,ROW(PaymentSchedule[[#This Row],[PMT NO]])-ROW(PaymentSchedule[[#Headers],[PMT NO]])-2)+DAY(LoanStartDate),"")</f>
        <v>47604</v>
      </c>
      <c r="D136" s="7">
        <f>IF(PaymentSchedule[[#This Row],[PMT NO]]&lt;&gt;"",IF(ROW()-ROW(PaymentSchedule[[#Headers],[BEGINNING BALANCE]])=1,LoanAmount,INDEX([ENDING BALANCE],ROW()-ROW(PaymentSchedule[[#Headers],[BEGINNING BALANCE]])-1)),"")</f>
        <v>97088.584889943231</v>
      </c>
      <c r="E136" s="7">
        <f>IF(PaymentSchedule[[#This Row],[PMT NO]]&lt;&gt;"",ScheduledPayment,"")</f>
        <v>608.02237179106271</v>
      </c>
      <c r="F13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3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36" s="7">
        <f>IF(PaymentSchedule[[#This Row],[PMT NO]]&lt;&gt;"",PaymentSchedule[[#This Row],[TOTAL PAYMENT]]-PaymentSchedule[[#This Row],[INTEREST]],"")</f>
        <v>243.94017845377562</v>
      </c>
      <c r="I136" s="7">
        <f>IF(PaymentSchedule[[#This Row],[PMT NO]]&lt;&gt;"",PaymentSchedule[[#This Row],[BEGINNING BALANCE]]*(InterestRate/PaymentsPerYear),"")</f>
        <v>364.08219333728709</v>
      </c>
      <c r="J136" s="7">
        <f>IF(PaymentSchedule[[#This Row],[PMT NO]]&lt;&gt;"",IF(PaymentSchedule[[#This Row],[SCHEDULED PAYMENT]]+PaymentSchedule[[#This Row],[EXTRA PAYMENT]]&lt;=PaymentSchedule[[#This Row],[BEGINNING BALANCE]],PaymentSchedule[[#This Row],[BEGINNING BALANCE]]-PaymentSchedule[[#This Row],[PRINCIPAL]],0),"")</f>
        <v>96844.644711489454</v>
      </c>
      <c r="K136" s="7">
        <f>IF(PaymentSchedule[[#This Row],[PMT NO]]&lt;&gt;"",SUM(INDEX([INTEREST],1,1):PaymentSchedule[[#This Row],[INTEREST]]),"")</f>
        <v>47983.262211043824</v>
      </c>
    </row>
    <row r="137" spans="2:11">
      <c r="B137" s="4">
        <f>IF(LoanIsGood,IF(ROW()-ROW(PaymentSchedule[[#Headers],[PMT NO]])&gt;ScheduledNumberOfPayments,"",ROW()-ROW(PaymentSchedule[[#Headers],[PMT NO]])),"")</f>
        <v>118</v>
      </c>
      <c r="C137" s="5">
        <f>IF(PaymentSchedule[[#This Row],[PMT NO]]&lt;&gt;"",EOMONTH(LoanStartDate,ROW(PaymentSchedule[[#This Row],[PMT NO]])-ROW(PaymentSchedule[[#Headers],[PMT NO]])-2)+DAY(LoanStartDate),"")</f>
        <v>47635</v>
      </c>
      <c r="D137" s="7">
        <f>IF(PaymentSchedule[[#This Row],[PMT NO]]&lt;&gt;"",IF(ROW()-ROW(PaymentSchedule[[#Headers],[BEGINNING BALANCE]])=1,LoanAmount,INDEX([ENDING BALANCE],ROW()-ROW(PaymentSchedule[[#Headers],[BEGINNING BALANCE]])-1)),"")</f>
        <v>96844.644711489454</v>
      </c>
      <c r="E137" s="7">
        <f>IF(PaymentSchedule[[#This Row],[PMT NO]]&lt;&gt;"",ScheduledPayment,"")</f>
        <v>608.02237179106271</v>
      </c>
      <c r="F13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3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37" s="7">
        <f>IF(PaymentSchedule[[#This Row],[PMT NO]]&lt;&gt;"",PaymentSchedule[[#This Row],[TOTAL PAYMENT]]-PaymentSchedule[[#This Row],[INTEREST]],"")</f>
        <v>244.85495412297729</v>
      </c>
      <c r="I137" s="7">
        <f>IF(PaymentSchedule[[#This Row],[PMT NO]]&lt;&gt;"",PaymentSchedule[[#This Row],[BEGINNING BALANCE]]*(InterestRate/PaymentsPerYear),"")</f>
        <v>363.16741766808542</v>
      </c>
      <c r="J137" s="7">
        <f>IF(PaymentSchedule[[#This Row],[PMT NO]]&lt;&gt;"",IF(PaymentSchedule[[#This Row],[SCHEDULED PAYMENT]]+PaymentSchedule[[#This Row],[EXTRA PAYMENT]]&lt;=PaymentSchedule[[#This Row],[BEGINNING BALANCE]],PaymentSchedule[[#This Row],[BEGINNING BALANCE]]-PaymentSchedule[[#This Row],[PRINCIPAL]],0),"")</f>
        <v>96599.789757366481</v>
      </c>
      <c r="K137" s="7">
        <f>IF(PaymentSchedule[[#This Row],[PMT NO]]&lt;&gt;"",SUM(INDEX([INTEREST],1,1):PaymentSchedule[[#This Row],[INTEREST]]),"")</f>
        <v>48346.429628711907</v>
      </c>
    </row>
    <row r="138" spans="2:11">
      <c r="B138" s="4">
        <f>IF(LoanIsGood,IF(ROW()-ROW(PaymentSchedule[[#Headers],[PMT NO]])&gt;ScheduledNumberOfPayments,"",ROW()-ROW(PaymentSchedule[[#Headers],[PMT NO]])),"")</f>
        <v>119</v>
      </c>
      <c r="C138" s="5">
        <f>IF(PaymentSchedule[[#This Row],[PMT NO]]&lt;&gt;"",EOMONTH(LoanStartDate,ROW(PaymentSchedule[[#This Row],[PMT NO]])-ROW(PaymentSchedule[[#Headers],[PMT NO]])-2)+DAY(LoanStartDate),"")</f>
        <v>47665</v>
      </c>
      <c r="D138" s="7">
        <f>IF(PaymentSchedule[[#This Row],[PMT NO]]&lt;&gt;"",IF(ROW()-ROW(PaymentSchedule[[#Headers],[BEGINNING BALANCE]])=1,LoanAmount,INDEX([ENDING BALANCE],ROW()-ROW(PaymentSchedule[[#Headers],[BEGINNING BALANCE]])-1)),"")</f>
        <v>96599.789757366481</v>
      </c>
      <c r="E138" s="7">
        <f>IF(PaymentSchedule[[#This Row],[PMT NO]]&lt;&gt;"",ScheduledPayment,"")</f>
        <v>608.02237179106271</v>
      </c>
      <c r="F13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3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38" s="7">
        <f>IF(PaymentSchedule[[#This Row],[PMT NO]]&lt;&gt;"",PaymentSchedule[[#This Row],[TOTAL PAYMENT]]-PaymentSchedule[[#This Row],[INTEREST]],"")</f>
        <v>245.77316020093843</v>
      </c>
      <c r="I138" s="7">
        <f>IF(PaymentSchedule[[#This Row],[PMT NO]]&lt;&gt;"",PaymentSchedule[[#This Row],[BEGINNING BALANCE]]*(InterestRate/PaymentsPerYear),"")</f>
        <v>362.24921159012428</v>
      </c>
      <c r="J138" s="7">
        <f>IF(PaymentSchedule[[#This Row],[PMT NO]]&lt;&gt;"",IF(PaymentSchedule[[#This Row],[SCHEDULED PAYMENT]]+PaymentSchedule[[#This Row],[EXTRA PAYMENT]]&lt;=PaymentSchedule[[#This Row],[BEGINNING BALANCE]],PaymentSchedule[[#This Row],[BEGINNING BALANCE]]-PaymentSchedule[[#This Row],[PRINCIPAL]],0),"")</f>
        <v>96354.016597165537</v>
      </c>
      <c r="K138" s="7">
        <f>IF(PaymentSchedule[[#This Row],[PMT NO]]&lt;&gt;"",SUM(INDEX([INTEREST],1,1):PaymentSchedule[[#This Row],[INTEREST]]),"")</f>
        <v>48708.678840302033</v>
      </c>
    </row>
    <row r="139" spans="2:11">
      <c r="B139" s="4">
        <f>IF(LoanIsGood,IF(ROW()-ROW(PaymentSchedule[[#Headers],[PMT NO]])&gt;ScheduledNumberOfPayments,"",ROW()-ROW(PaymentSchedule[[#Headers],[PMT NO]])),"")</f>
        <v>120</v>
      </c>
      <c r="C139" s="5">
        <f>IF(PaymentSchedule[[#This Row],[PMT NO]]&lt;&gt;"",EOMONTH(LoanStartDate,ROW(PaymentSchedule[[#This Row],[PMT NO]])-ROW(PaymentSchedule[[#Headers],[PMT NO]])-2)+DAY(LoanStartDate),"")</f>
        <v>47696</v>
      </c>
      <c r="D139" s="7">
        <f>IF(PaymentSchedule[[#This Row],[PMT NO]]&lt;&gt;"",IF(ROW()-ROW(PaymentSchedule[[#Headers],[BEGINNING BALANCE]])=1,LoanAmount,INDEX([ENDING BALANCE],ROW()-ROW(PaymentSchedule[[#Headers],[BEGINNING BALANCE]])-1)),"")</f>
        <v>96354.016597165537</v>
      </c>
      <c r="E139" s="7">
        <f>IF(PaymentSchedule[[#This Row],[PMT NO]]&lt;&gt;"",ScheduledPayment,"")</f>
        <v>608.02237179106271</v>
      </c>
      <c r="F13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3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39" s="7">
        <f>IF(PaymentSchedule[[#This Row],[PMT NO]]&lt;&gt;"",PaymentSchedule[[#This Row],[TOTAL PAYMENT]]-PaymentSchedule[[#This Row],[INTEREST]],"")</f>
        <v>246.69480955169195</v>
      </c>
      <c r="I139" s="7">
        <f>IF(PaymentSchedule[[#This Row],[PMT NO]]&lt;&gt;"",PaymentSchedule[[#This Row],[BEGINNING BALANCE]]*(InterestRate/PaymentsPerYear),"")</f>
        <v>361.32756223937076</v>
      </c>
      <c r="J139" s="7">
        <f>IF(PaymentSchedule[[#This Row],[PMT NO]]&lt;&gt;"",IF(PaymentSchedule[[#This Row],[SCHEDULED PAYMENT]]+PaymentSchedule[[#This Row],[EXTRA PAYMENT]]&lt;=PaymentSchedule[[#This Row],[BEGINNING BALANCE]],PaymentSchedule[[#This Row],[BEGINNING BALANCE]]-PaymentSchedule[[#This Row],[PRINCIPAL]],0),"")</f>
        <v>96107.321787613851</v>
      </c>
      <c r="K139" s="7">
        <f>IF(PaymentSchedule[[#This Row],[PMT NO]]&lt;&gt;"",SUM(INDEX([INTEREST],1,1):PaymentSchedule[[#This Row],[INTEREST]]),"")</f>
        <v>49070.006402541403</v>
      </c>
    </row>
    <row r="140" spans="2:11">
      <c r="B140" s="4">
        <f>IF(LoanIsGood,IF(ROW()-ROW(PaymentSchedule[[#Headers],[PMT NO]])&gt;ScheduledNumberOfPayments,"",ROW()-ROW(PaymentSchedule[[#Headers],[PMT NO]])),"")</f>
        <v>121</v>
      </c>
      <c r="C140" s="5">
        <f>IF(PaymentSchedule[[#This Row],[PMT NO]]&lt;&gt;"",EOMONTH(LoanStartDate,ROW(PaymentSchedule[[#This Row],[PMT NO]])-ROW(PaymentSchedule[[#Headers],[PMT NO]])-2)+DAY(LoanStartDate),"")</f>
        <v>47727</v>
      </c>
      <c r="D140" s="7">
        <f>IF(PaymentSchedule[[#This Row],[PMT NO]]&lt;&gt;"",IF(ROW()-ROW(PaymentSchedule[[#Headers],[BEGINNING BALANCE]])=1,LoanAmount,INDEX([ENDING BALANCE],ROW()-ROW(PaymentSchedule[[#Headers],[BEGINNING BALANCE]])-1)),"")</f>
        <v>96107.321787613851</v>
      </c>
      <c r="E140" s="7">
        <f>IF(PaymentSchedule[[#This Row],[PMT NO]]&lt;&gt;"",ScheduledPayment,"")</f>
        <v>608.02237179106271</v>
      </c>
      <c r="F14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4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40" s="7">
        <f>IF(PaymentSchedule[[#This Row],[PMT NO]]&lt;&gt;"",PaymentSchedule[[#This Row],[TOTAL PAYMENT]]-PaymentSchedule[[#This Row],[INTEREST]],"")</f>
        <v>247.61991508751078</v>
      </c>
      <c r="I140" s="7">
        <f>IF(PaymentSchedule[[#This Row],[PMT NO]]&lt;&gt;"",PaymentSchedule[[#This Row],[BEGINNING BALANCE]]*(InterestRate/PaymentsPerYear),"")</f>
        <v>360.40245670355193</v>
      </c>
      <c r="J140" s="7">
        <f>IF(PaymentSchedule[[#This Row],[PMT NO]]&lt;&gt;"",IF(PaymentSchedule[[#This Row],[SCHEDULED PAYMENT]]+PaymentSchedule[[#This Row],[EXTRA PAYMENT]]&lt;=PaymentSchedule[[#This Row],[BEGINNING BALANCE]],PaymentSchedule[[#This Row],[BEGINNING BALANCE]]-PaymentSchedule[[#This Row],[PRINCIPAL]],0),"")</f>
        <v>95859.701872526348</v>
      </c>
      <c r="K140" s="7">
        <f>IF(PaymentSchedule[[#This Row],[PMT NO]]&lt;&gt;"",SUM(INDEX([INTEREST],1,1):PaymentSchedule[[#This Row],[INTEREST]]),"")</f>
        <v>49430.408859244955</v>
      </c>
    </row>
    <row r="141" spans="2:11">
      <c r="B141" s="4">
        <f>IF(LoanIsGood,IF(ROW()-ROW(PaymentSchedule[[#Headers],[PMT NO]])&gt;ScheduledNumberOfPayments,"",ROW()-ROW(PaymentSchedule[[#Headers],[PMT NO]])),"")</f>
        <v>122</v>
      </c>
      <c r="C141" s="5">
        <f>IF(PaymentSchedule[[#This Row],[PMT NO]]&lt;&gt;"",EOMONTH(LoanStartDate,ROW(PaymentSchedule[[#This Row],[PMT NO]])-ROW(PaymentSchedule[[#Headers],[PMT NO]])-2)+DAY(LoanStartDate),"")</f>
        <v>47757</v>
      </c>
      <c r="D141" s="7">
        <f>IF(PaymentSchedule[[#This Row],[PMT NO]]&lt;&gt;"",IF(ROW()-ROW(PaymentSchedule[[#Headers],[BEGINNING BALANCE]])=1,LoanAmount,INDEX([ENDING BALANCE],ROW()-ROW(PaymentSchedule[[#Headers],[BEGINNING BALANCE]])-1)),"")</f>
        <v>95859.701872526348</v>
      </c>
      <c r="E141" s="7">
        <f>IF(PaymentSchedule[[#This Row],[PMT NO]]&lt;&gt;"",ScheduledPayment,"")</f>
        <v>608.02237179106271</v>
      </c>
      <c r="F14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4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41" s="7">
        <f>IF(PaymentSchedule[[#This Row],[PMT NO]]&lt;&gt;"",PaymentSchedule[[#This Row],[TOTAL PAYMENT]]-PaymentSchedule[[#This Row],[INTEREST]],"")</f>
        <v>248.54848976908892</v>
      </c>
      <c r="I141" s="7">
        <f>IF(PaymentSchedule[[#This Row],[PMT NO]]&lt;&gt;"",PaymentSchedule[[#This Row],[BEGINNING BALANCE]]*(InterestRate/PaymentsPerYear),"")</f>
        <v>359.47388202197379</v>
      </c>
      <c r="J141" s="7">
        <f>IF(PaymentSchedule[[#This Row],[PMT NO]]&lt;&gt;"",IF(PaymentSchedule[[#This Row],[SCHEDULED PAYMENT]]+PaymentSchedule[[#This Row],[EXTRA PAYMENT]]&lt;=PaymentSchedule[[#This Row],[BEGINNING BALANCE]],PaymentSchedule[[#This Row],[BEGINNING BALANCE]]-PaymentSchedule[[#This Row],[PRINCIPAL]],0),"")</f>
        <v>95611.153382757257</v>
      </c>
      <c r="K141" s="7">
        <f>IF(PaymentSchedule[[#This Row],[PMT NO]]&lt;&gt;"",SUM(INDEX([INTEREST],1,1):PaymentSchedule[[#This Row],[INTEREST]]),"")</f>
        <v>49789.882741266927</v>
      </c>
    </row>
    <row r="142" spans="2:11">
      <c r="B142" s="4">
        <f>IF(LoanIsGood,IF(ROW()-ROW(PaymentSchedule[[#Headers],[PMT NO]])&gt;ScheduledNumberOfPayments,"",ROW()-ROW(PaymentSchedule[[#Headers],[PMT NO]])),"")</f>
        <v>123</v>
      </c>
      <c r="C142" s="5">
        <f>IF(PaymentSchedule[[#This Row],[PMT NO]]&lt;&gt;"",EOMONTH(LoanStartDate,ROW(PaymentSchedule[[#This Row],[PMT NO]])-ROW(PaymentSchedule[[#Headers],[PMT NO]])-2)+DAY(LoanStartDate),"")</f>
        <v>47788</v>
      </c>
      <c r="D142" s="7">
        <f>IF(PaymentSchedule[[#This Row],[PMT NO]]&lt;&gt;"",IF(ROW()-ROW(PaymentSchedule[[#Headers],[BEGINNING BALANCE]])=1,LoanAmount,INDEX([ENDING BALANCE],ROW()-ROW(PaymentSchedule[[#Headers],[BEGINNING BALANCE]])-1)),"")</f>
        <v>95611.153382757257</v>
      </c>
      <c r="E142" s="7">
        <f>IF(PaymentSchedule[[#This Row],[PMT NO]]&lt;&gt;"",ScheduledPayment,"")</f>
        <v>608.02237179106271</v>
      </c>
      <c r="F14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4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42" s="7">
        <f>IF(PaymentSchedule[[#This Row],[PMT NO]]&lt;&gt;"",PaymentSchedule[[#This Row],[TOTAL PAYMENT]]-PaymentSchedule[[#This Row],[INTEREST]],"")</f>
        <v>249.48054660572302</v>
      </c>
      <c r="I142" s="7">
        <f>IF(PaymentSchedule[[#This Row],[PMT NO]]&lt;&gt;"",PaymentSchedule[[#This Row],[BEGINNING BALANCE]]*(InterestRate/PaymentsPerYear),"")</f>
        <v>358.54182518533969</v>
      </c>
      <c r="J142" s="7">
        <f>IF(PaymentSchedule[[#This Row],[PMT NO]]&lt;&gt;"",IF(PaymentSchedule[[#This Row],[SCHEDULED PAYMENT]]+PaymentSchedule[[#This Row],[EXTRA PAYMENT]]&lt;=PaymentSchedule[[#This Row],[BEGINNING BALANCE]],PaymentSchedule[[#This Row],[BEGINNING BALANCE]]-PaymentSchedule[[#This Row],[PRINCIPAL]],0),"")</f>
        <v>95361.672836151527</v>
      </c>
      <c r="K142" s="7">
        <f>IF(PaymentSchedule[[#This Row],[PMT NO]]&lt;&gt;"",SUM(INDEX([INTEREST],1,1):PaymentSchedule[[#This Row],[INTEREST]]),"")</f>
        <v>50148.424566452268</v>
      </c>
    </row>
    <row r="143" spans="2:11">
      <c r="B143" s="4">
        <f>IF(LoanIsGood,IF(ROW()-ROW(PaymentSchedule[[#Headers],[PMT NO]])&gt;ScheduledNumberOfPayments,"",ROW()-ROW(PaymentSchedule[[#Headers],[PMT NO]])),"")</f>
        <v>124</v>
      </c>
      <c r="C143" s="5">
        <f>IF(PaymentSchedule[[#This Row],[PMT NO]]&lt;&gt;"",EOMONTH(LoanStartDate,ROW(PaymentSchedule[[#This Row],[PMT NO]])-ROW(PaymentSchedule[[#Headers],[PMT NO]])-2)+DAY(LoanStartDate),"")</f>
        <v>47818</v>
      </c>
      <c r="D143" s="7">
        <f>IF(PaymentSchedule[[#This Row],[PMT NO]]&lt;&gt;"",IF(ROW()-ROW(PaymentSchedule[[#Headers],[BEGINNING BALANCE]])=1,LoanAmount,INDEX([ENDING BALANCE],ROW()-ROW(PaymentSchedule[[#Headers],[BEGINNING BALANCE]])-1)),"")</f>
        <v>95361.672836151527</v>
      </c>
      <c r="E143" s="7">
        <f>IF(PaymentSchedule[[#This Row],[PMT NO]]&lt;&gt;"",ScheduledPayment,"")</f>
        <v>608.02237179106271</v>
      </c>
      <c r="F14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4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43" s="7">
        <f>IF(PaymentSchedule[[#This Row],[PMT NO]]&lt;&gt;"",PaymentSchedule[[#This Row],[TOTAL PAYMENT]]-PaymentSchedule[[#This Row],[INTEREST]],"")</f>
        <v>250.41609865549452</v>
      </c>
      <c r="I143" s="7">
        <f>IF(PaymentSchedule[[#This Row],[PMT NO]]&lt;&gt;"",PaymentSchedule[[#This Row],[BEGINNING BALANCE]]*(InterestRate/PaymentsPerYear),"")</f>
        <v>357.60627313556819</v>
      </c>
      <c r="J143" s="7">
        <f>IF(PaymentSchedule[[#This Row],[PMT NO]]&lt;&gt;"",IF(PaymentSchedule[[#This Row],[SCHEDULED PAYMENT]]+PaymentSchedule[[#This Row],[EXTRA PAYMENT]]&lt;=PaymentSchedule[[#This Row],[BEGINNING BALANCE]],PaymentSchedule[[#This Row],[BEGINNING BALANCE]]-PaymentSchedule[[#This Row],[PRINCIPAL]],0),"")</f>
        <v>95111.256737496034</v>
      </c>
      <c r="K143" s="7">
        <f>IF(PaymentSchedule[[#This Row],[PMT NO]]&lt;&gt;"",SUM(INDEX([INTEREST],1,1):PaymentSchedule[[#This Row],[INTEREST]]),"")</f>
        <v>50506.030839587838</v>
      </c>
    </row>
    <row r="144" spans="2:11">
      <c r="B144" s="4">
        <f>IF(LoanIsGood,IF(ROW()-ROW(PaymentSchedule[[#Headers],[PMT NO]])&gt;ScheduledNumberOfPayments,"",ROW()-ROW(PaymentSchedule[[#Headers],[PMT NO]])),"")</f>
        <v>125</v>
      </c>
      <c r="C144" s="5">
        <f>IF(PaymentSchedule[[#This Row],[PMT NO]]&lt;&gt;"",EOMONTH(LoanStartDate,ROW(PaymentSchedule[[#This Row],[PMT NO]])-ROW(PaymentSchedule[[#Headers],[PMT NO]])-2)+DAY(LoanStartDate),"")</f>
        <v>47849</v>
      </c>
      <c r="D144" s="7">
        <f>IF(PaymentSchedule[[#This Row],[PMT NO]]&lt;&gt;"",IF(ROW()-ROW(PaymentSchedule[[#Headers],[BEGINNING BALANCE]])=1,LoanAmount,INDEX([ENDING BALANCE],ROW()-ROW(PaymentSchedule[[#Headers],[BEGINNING BALANCE]])-1)),"")</f>
        <v>95111.256737496034</v>
      </c>
      <c r="E144" s="7">
        <f>IF(PaymentSchedule[[#This Row],[PMT NO]]&lt;&gt;"",ScheduledPayment,"")</f>
        <v>608.02237179106271</v>
      </c>
      <c r="F14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4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44" s="7">
        <f>IF(PaymentSchedule[[#This Row],[PMT NO]]&lt;&gt;"",PaymentSchedule[[#This Row],[TOTAL PAYMENT]]-PaymentSchedule[[#This Row],[INTEREST]],"")</f>
        <v>251.35515902545262</v>
      </c>
      <c r="I144" s="7">
        <f>IF(PaymentSchedule[[#This Row],[PMT NO]]&lt;&gt;"",PaymentSchedule[[#This Row],[BEGINNING BALANCE]]*(InterestRate/PaymentsPerYear),"")</f>
        <v>356.66721276561009</v>
      </c>
      <c r="J144" s="7">
        <f>IF(PaymentSchedule[[#This Row],[PMT NO]]&lt;&gt;"",IF(PaymentSchedule[[#This Row],[SCHEDULED PAYMENT]]+PaymentSchedule[[#This Row],[EXTRA PAYMENT]]&lt;=PaymentSchedule[[#This Row],[BEGINNING BALANCE]],PaymentSchedule[[#This Row],[BEGINNING BALANCE]]-PaymentSchedule[[#This Row],[PRINCIPAL]],0),"")</f>
        <v>94859.901578470584</v>
      </c>
      <c r="K144" s="7">
        <f>IF(PaymentSchedule[[#This Row],[PMT NO]]&lt;&gt;"",SUM(INDEX([INTEREST],1,1):PaymentSchedule[[#This Row],[INTEREST]]),"")</f>
        <v>50862.698052353451</v>
      </c>
    </row>
    <row r="145" spans="2:11">
      <c r="B145" s="4">
        <f>IF(LoanIsGood,IF(ROW()-ROW(PaymentSchedule[[#Headers],[PMT NO]])&gt;ScheduledNumberOfPayments,"",ROW()-ROW(PaymentSchedule[[#Headers],[PMT NO]])),"")</f>
        <v>126</v>
      </c>
      <c r="C145" s="5">
        <f>IF(PaymentSchedule[[#This Row],[PMT NO]]&lt;&gt;"",EOMONTH(LoanStartDate,ROW(PaymentSchedule[[#This Row],[PMT NO]])-ROW(PaymentSchedule[[#Headers],[PMT NO]])-2)+DAY(LoanStartDate),"")</f>
        <v>47880</v>
      </c>
      <c r="D145" s="7">
        <f>IF(PaymentSchedule[[#This Row],[PMT NO]]&lt;&gt;"",IF(ROW()-ROW(PaymentSchedule[[#Headers],[BEGINNING BALANCE]])=1,LoanAmount,INDEX([ENDING BALANCE],ROW()-ROW(PaymentSchedule[[#Headers],[BEGINNING BALANCE]])-1)),"")</f>
        <v>94859.901578470584</v>
      </c>
      <c r="E145" s="7">
        <f>IF(PaymentSchedule[[#This Row],[PMT NO]]&lt;&gt;"",ScheduledPayment,"")</f>
        <v>608.02237179106271</v>
      </c>
      <c r="F14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4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45" s="7">
        <f>IF(PaymentSchedule[[#This Row],[PMT NO]]&lt;&gt;"",PaymentSchedule[[#This Row],[TOTAL PAYMENT]]-PaymentSchedule[[#This Row],[INTEREST]],"")</f>
        <v>252.29774087179806</v>
      </c>
      <c r="I145" s="7">
        <f>IF(PaymentSchedule[[#This Row],[PMT NO]]&lt;&gt;"",PaymentSchedule[[#This Row],[BEGINNING BALANCE]]*(InterestRate/PaymentsPerYear),"")</f>
        <v>355.72463091926465</v>
      </c>
      <c r="J145" s="7">
        <f>IF(PaymentSchedule[[#This Row],[PMT NO]]&lt;&gt;"",IF(PaymentSchedule[[#This Row],[SCHEDULED PAYMENT]]+PaymentSchedule[[#This Row],[EXTRA PAYMENT]]&lt;=PaymentSchedule[[#This Row],[BEGINNING BALANCE]],PaymentSchedule[[#This Row],[BEGINNING BALANCE]]-PaymentSchedule[[#This Row],[PRINCIPAL]],0),"")</f>
        <v>94607.603837598785</v>
      </c>
      <c r="K145" s="7">
        <f>IF(PaymentSchedule[[#This Row],[PMT NO]]&lt;&gt;"",SUM(INDEX([INTEREST],1,1):PaymentSchedule[[#This Row],[INTEREST]]),"")</f>
        <v>51218.422683272714</v>
      </c>
    </row>
    <row r="146" spans="2:11">
      <c r="B146" s="4">
        <f>IF(LoanIsGood,IF(ROW()-ROW(PaymentSchedule[[#Headers],[PMT NO]])&gt;ScheduledNumberOfPayments,"",ROW()-ROW(PaymentSchedule[[#Headers],[PMT NO]])),"")</f>
        <v>127</v>
      </c>
      <c r="C146" s="5">
        <f>IF(PaymentSchedule[[#This Row],[PMT NO]]&lt;&gt;"",EOMONTH(LoanStartDate,ROW(PaymentSchedule[[#This Row],[PMT NO]])-ROW(PaymentSchedule[[#Headers],[PMT NO]])-2)+DAY(LoanStartDate),"")</f>
        <v>47908</v>
      </c>
      <c r="D146" s="7">
        <f>IF(PaymentSchedule[[#This Row],[PMT NO]]&lt;&gt;"",IF(ROW()-ROW(PaymentSchedule[[#Headers],[BEGINNING BALANCE]])=1,LoanAmount,INDEX([ENDING BALANCE],ROW()-ROW(PaymentSchedule[[#Headers],[BEGINNING BALANCE]])-1)),"")</f>
        <v>94607.603837598785</v>
      </c>
      <c r="E146" s="7">
        <f>IF(PaymentSchedule[[#This Row],[PMT NO]]&lt;&gt;"",ScheduledPayment,"")</f>
        <v>608.02237179106271</v>
      </c>
      <c r="F14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4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46" s="7">
        <f>IF(PaymentSchedule[[#This Row],[PMT NO]]&lt;&gt;"",PaymentSchedule[[#This Row],[TOTAL PAYMENT]]-PaymentSchedule[[#This Row],[INTEREST]],"")</f>
        <v>253.24385740006727</v>
      </c>
      <c r="I146" s="7">
        <f>IF(PaymentSchedule[[#This Row],[PMT NO]]&lt;&gt;"",PaymentSchedule[[#This Row],[BEGINNING BALANCE]]*(InterestRate/PaymentsPerYear),"")</f>
        <v>354.77851439099544</v>
      </c>
      <c r="J146" s="7">
        <f>IF(PaymentSchedule[[#This Row],[PMT NO]]&lt;&gt;"",IF(PaymentSchedule[[#This Row],[SCHEDULED PAYMENT]]+PaymentSchedule[[#This Row],[EXTRA PAYMENT]]&lt;=PaymentSchedule[[#This Row],[BEGINNING BALANCE]],PaymentSchedule[[#This Row],[BEGINNING BALANCE]]-PaymentSchedule[[#This Row],[PRINCIPAL]],0),"")</f>
        <v>94354.359980198715</v>
      </c>
      <c r="K146" s="7">
        <f>IF(PaymentSchedule[[#This Row],[PMT NO]]&lt;&gt;"",SUM(INDEX([INTEREST],1,1):PaymentSchedule[[#This Row],[INTEREST]]),"")</f>
        <v>51573.201197663708</v>
      </c>
    </row>
    <row r="147" spans="2:11">
      <c r="B147" s="4">
        <f>IF(LoanIsGood,IF(ROW()-ROW(PaymentSchedule[[#Headers],[PMT NO]])&gt;ScheduledNumberOfPayments,"",ROW()-ROW(PaymentSchedule[[#Headers],[PMT NO]])),"")</f>
        <v>128</v>
      </c>
      <c r="C147" s="5">
        <f>IF(PaymentSchedule[[#This Row],[PMT NO]]&lt;&gt;"",EOMONTH(LoanStartDate,ROW(PaymentSchedule[[#This Row],[PMT NO]])-ROW(PaymentSchedule[[#Headers],[PMT NO]])-2)+DAY(LoanStartDate),"")</f>
        <v>47939</v>
      </c>
      <c r="D147" s="7">
        <f>IF(PaymentSchedule[[#This Row],[PMT NO]]&lt;&gt;"",IF(ROW()-ROW(PaymentSchedule[[#Headers],[BEGINNING BALANCE]])=1,LoanAmount,INDEX([ENDING BALANCE],ROW()-ROW(PaymentSchedule[[#Headers],[BEGINNING BALANCE]])-1)),"")</f>
        <v>94354.359980198715</v>
      </c>
      <c r="E147" s="7">
        <f>IF(PaymentSchedule[[#This Row],[PMT NO]]&lt;&gt;"",ScheduledPayment,"")</f>
        <v>608.02237179106271</v>
      </c>
      <c r="F14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4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47" s="7">
        <f>IF(PaymentSchedule[[#This Row],[PMT NO]]&lt;&gt;"",PaymentSchedule[[#This Row],[TOTAL PAYMENT]]-PaymentSchedule[[#This Row],[INTEREST]],"")</f>
        <v>254.19352186531756</v>
      </c>
      <c r="I147" s="7">
        <f>IF(PaymentSchedule[[#This Row],[PMT NO]]&lt;&gt;"",PaymentSchedule[[#This Row],[BEGINNING BALANCE]]*(InterestRate/PaymentsPerYear),"")</f>
        <v>353.82884992574515</v>
      </c>
      <c r="J147" s="7">
        <f>IF(PaymentSchedule[[#This Row],[PMT NO]]&lt;&gt;"",IF(PaymentSchedule[[#This Row],[SCHEDULED PAYMENT]]+PaymentSchedule[[#This Row],[EXTRA PAYMENT]]&lt;=PaymentSchedule[[#This Row],[BEGINNING BALANCE]],PaymentSchedule[[#This Row],[BEGINNING BALANCE]]-PaymentSchedule[[#This Row],[PRINCIPAL]],0),"")</f>
        <v>94100.166458333391</v>
      </c>
      <c r="K147" s="7">
        <f>IF(PaymentSchedule[[#This Row],[PMT NO]]&lt;&gt;"",SUM(INDEX([INTEREST],1,1):PaymentSchedule[[#This Row],[INTEREST]]),"")</f>
        <v>51927.030047589455</v>
      </c>
    </row>
    <row r="148" spans="2:11">
      <c r="B148" s="4">
        <f>IF(LoanIsGood,IF(ROW()-ROW(PaymentSchedule[[#Headers],[PMT NO]])&gt;ScheduledNumberOfPayments,"",ROW()-ROW(PaymentSchedule[[#Headers],[PMT NO]])),"")</f>
        <v>129</v>
      </c>
      <c r="C148" s="5">
        <f>IF(PaymentSchedule[[#This Row],[PMT NO]]&lt;&gt;"",EOMONTH(LoanStartDate,ROW(PaymentSchedule[[#This Row],[PMT NO]])-ROW(PaymentSchedule[[#Headers],[PMT NO]])-2)+DAY(LoanStartDate),"")</f>
        <v>47969</v>
      </c>
      <c r="D148" s="7">
        <f>IF(PaymentSchedule[[#This Row],[PMT NO]]&lt;&gt;"",IF(ROW()-ROW(PaymentSchedule[[#Headers],[BEGINNING BALANCE]])=1,LoanAmount,INDEX([ENDING BALANCE],ROW()-ROW(PaymentSchedule[[#Headers],[BEGINNING BALANCE]])-1)),"")</f>
        <v>94100.166458333391</v>
      </c>
      <c r="E148" s="7">
        <f>IF(PaymentSchedule[[#This Row],[PMT NO]]&lt;&gt;"",ScheduledPayment,"")</f>
        <v>608.02237179106271</v>
      </c>
      <c r="F14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4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48" s="7">
        <f>IF(PaymentSchedule[[#This Row],[PMT NO]]&lt;&gt;"",PaymentSchedule[[#This Row],[TOTAL PAYMENT]]-PaymentSchedule[[#This Row],[INTEREST]],"")</f>
        <v>255.14674757231251</v>
      </c>
      <c r="I148" s="7">
        <f>IF(PaymentSchedule[[#This Row],[PMT NO]]&lt;&gt;"",PaymentSchedule[[#This Row],[BEGINNING BALANCE]]*(InterestRate/PaymentsPerYear),"")</f>
        <v>352.8756242187502</v>
      </c>
      <c r="J148" s="7">
        <f>IF(PaymentSchedule[[#This Row],[PMT NO]]&lt;&gt;"",IF(PaymentSchedule[[#This Row],[SCHEDULED PAYMENT]]+PaymentSchedule[[#This Row],[EXTRA PAYMENT]]&lt;=PaymentSchedule[[#This Row],[BEGINNING BALANCE]],PaymentSchedule[[#This Row],[BEGINNING BALANCE]]-PaymentSchedule[[#This Row],[PRINCIPAL]],0),"")</f>
        <v>93845.019710761073</v>
      </c>
      <c r="K148" s="7">
        <f>IF(PaymentSchedule[[#This Row],[PMT NO]]&lt;&gt;"",SUM(INDEX([INTEREST],1,1):PaymentSchedule[[#This Row],[INTEREST]]),"")</f>
        <v>52279.905671808207</v>
      </c>
    </row>
    <row r="149" spans="2:11">
      <c r="B149" s="4">
        <f>IF(LoanIsGood,IF(ROW()-ROW(PaymentSchedule[[#Headers],[PMT NO]])&gt;ScheduledNumberOfPayments,"",ROW()-ROW(PaymentSchedule[[#Headers],[PMT NO]])),"")</f>
        <v>130</v>
      </c>
      <c r="C149" s="5">
        <f>IF(PaymentSchedule[[#This Row],[PMT NO]]&lt;&gt;"",EOMONTH(LoanStartDate,ROW(PaymentSchedule[[#This Row],[PMT NO]])-ROW(PaymentSchedule[[#Headers],[PMT NO]])-2)+DAY(LoanStartDate),"")</f>
        <v>48000</v>
      </c>
      <c r="D149" s="7">
        <f>IF(PaymentSchedule[[#This Row],[PMT NO]]&lt;&gt;"",IF(ROW()-ROW(PaymentSchedule[[#Headers],[BEGINNING BALANCE]])=1,LoanAmount,INDEX([ENDING BALANCE],ROW()-ROW(PaymentSchedule[[#Headers],[BEGINNING BALANCE]])-1)),"")</f>
        <v>93845.019710761073</v>
      </c>
      <c r="E149" s="7">
        <f>IF(PaymentSchedule[[#This Row],[PMT NO]]&lt;&gt;"",ScheduledPayment,"")</f>
        <v>608.02237179106271</v>
      </c>
      <c r="F14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4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49" s="7">
        <f>IF(PaymentSchedule[[#This Row],[PMT NO]]&lt;&gt;"",PaymentSchedule[[#This Row],[TOTAL PAYMENT]]-PaymentSchedule[[#This Row],[INTEREST]],"")</f>
        <v>256.10354787570873</v>
      </c>
      <c r="I149" s="7">
        <f>IF(PaymentSchedule[[#This Row],[PMT NO]]&lt;&gt;"",PaymentSchedule[[#This Row],[BEGINNING BALANCE]]*(InterestRate/PaymentsPerYear),"")</f>
        <v>351.91882391535398</v>
      </c>
      <c r="J149" s="7">
        <f>IF(PaymentSchedule[[#This Row],[PMT NO]]&lt;&gt;"",IF(PaymentSchedule[[#This Row],[SCHEDULED PAYMENT]]+PaymentSchedule[[#This Row],[EXTRA PAYMENT]]&lt;=PaymentSchedule[[#This Row],[BEGINNING BALANCE]],PaymentSchedule[[#This Row],[BEGINNING BALANCE]]-PaymentSchedule[[#This Row],[PRINCIPAL]],0),"")</f>
        <v>93588.916162885362</v>
      </c>
      <c r="K149" s="7">
        <f>IF(PaymentSchedule[[#This Row],[PMT NO]]&lt;&gt;"",SUM(INDEX([INTEREST],1,1):PaymentSchedule[[#This Row],[INTEREST]]),"")</f>
        <v>52631.824495723558</v>
      </c>
    </row>
    <row r="150" spans="2:11">
      <c r="B150" s="4">
        <f>IF(LoanIsGood,IF(ROW()-ROW(PaymentSchedule[[#Headers],[PMT NO]])&gt;ScheduledNumberOfPayments,"",ROW()-ROW(PaymentSchedule[[#Headers],[PMT NO]])),"")</f>
        <v>131</v>
      </c>
      <c r="C150" s="5">
        <f>IF(PaymentSchedule[[#This Row],[PMT NO]]&lt;&gt;"",EOMONTH(LoanStartDate,ROW(PaymentSchedule[[#This Row],[PMT NO]])-ROW(PaymentSchedule[[#Headers],[PMT NO]])-2)+DAY(LoanStartDate),"")</f>
        <v>48030</v>
      </c>
      <c r="D150" s="7">
        <f>IF(PaymentSchedule[[#This Row],[PMT NO]]&lt;&gt;"",IF(ROW()-ROW(PaymentSchedule[[#Headers],[BEGINNING BALANCE]])=1,LoanAmount,INDEX([ENDING BALANCE],ROW()-ROW(PaymentSchedule[[#Headers],[BEGINNING BALANCE]])-1)),"")</f>
        <v>93588.916162885362</v>
      </c>
      <c r="E150" s="7">
        <f>IF(PaymentSchedule[[#This Row],[PMT NO]]&lt;&gt;"",ScheduledPayment,"")</f>
        <v>608.02237179106271</v>
      </c>
      <c r="F15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5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50" s="7">
        <f>IF(PaymentSchedule[[#This Row],[PMT NO]]&lt;&gt;"",PaymentSchedule[[#This Row],[TOTAL PAYMENT]]-PaymentSchedule[[#This Row],[INTEREST]],"")</f>
        <v>257.06393618024259</v>
      </c>
      <c r="I150" s="7">
        <f>IF(PaymentSchedule[[#This Row],[PMT NO]]&lt;&gt;"",PaymentSchedule[[#This Row],[BEGINNING BALANCE]]*(InterestRate/PaymentsPerYear),"")</f>
        <v>350.95843561082012</v>
      </c>
      <c r="J150" s="7">
        <f>IF(PaymentSchedule[[#This Row],[PMT NO]]&lt;&gt;"",IF(PaymentSchedule[[#This Row],[SCHEDULED PAYMENT]]+PaymentSchedule[[#This Row],[EXTRA PAYMENT]]&lt;=PaymentSchedule[[#This Row],[BEGINNING BALANCE]],PaymentSchedule[[#This Row],[BEGINNING BALANCE]]-PaymentSchedule[[#This Row],[PRINCIPAL]],0),"")</f>
        <v>93331.852226705116</v>
      </c>
      <c r="K150" s="7">
        <f>IF(PaymentSchedule[[#This Row],[PMT NO]]&lt;&gt;"",SUM(INDEX([INTEREST],1,1):PaymentSchedule[[#This Row],[INTEREST]]),"")</f>
        <v>52982.782931334375</v>
      </c>
    </row>
    <row r="151" spans="2:11">
      <c r="B151" s="4">
        <f>IF(LoanIsGood,IF(ROW()-ROW(PaymentSchedule[[#Headers],[PMT NO]])&gt;ScheduledNumberOfPayments,"",ROW()-ROW(PaymentSchedule[[#Headers],[PMT NO]])),"")</f>
        <v>132</v>
      </c>
      <c r="C151" s="5">
        <f>IF(PaymentSchedule[[#This Row],[PMT NO]]&lt;&gt;"",EOMONTH(LoanStartDate,ROW(PaymentSchedule[[#This Row],[PMT NO]])-ROW(PaymentSchedule[[#Headers],[PMT NO]])-2)+DAY(LoanStartDate),"")</f>
        <v>48061</v>
      </c>
      <c r="D151" s="7">
        <f>IF(PaymentSchedule[[#This Row],[PMT NO]]&lt;&gt;"",IF(ROW()-ROW(PaymentSchedule[[#Headers],[BEGINNING BALANCE]])=1,LoanAmount,INDEX([ENDING BALANCE],ROW()-ROW(PaymentSchedule[[#Headers],[BEGINNING BALANCE]])-1)),"")</f>
        <v>93331.852226705116</v>
      </c>
      <c r="E151" s="7">
        <f>IF(PaymentSchedule[[#This Row],[PMT NO]]&lt;&gt;"",ScheduledPayment,"")</f>
        <v>608.02237179106271</v>
      </c>
      <c r="F15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5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51" s="7">
        <f>IF(PaymentSchedule[[#This Row],[PMT NO]]&lt;&gt;"",PaymentSchedule[[#This Row],[TOTAL PAYMENT]]-PaymentSchedule[[#This Row],[INTEREST]],"")</f>
        <v>258.02792594091852</v>
      </c>
      <c r="I151" s="7">
        <f>IF(PaymentSchedule[[#This Row],[PMT NO]]&lt;&gt;"",PaymentSchedule[[#This Row],[BEGINNING BALANCE]]*(InterestRate/PaymentsPerYear),"")</f>
        <v>349.99444585014419</v>
      </c>
      <c r="J151" s="7">
        <f>IF(PaymentSchedule[[#This Row],[PMT NO]]&lt;&gt;"",IF(PaymentSchedule[[#This Row],[SCHEDULED PAYMENT]]+PaymentSchedule[[#This Row],[EXTRA PAYMENT]]&lt;=PaymentSchedule[[#This Row],[BEGINNING BALANCE]],PaymentSchedule[[#This Row],[BEGINNING BALANCE]]-PaymentSchedule[[#This Row],[PRINCIPAL]],0),"")</f>
        <v>93073.824300764201</v>
      </c>
      <c r="K151" s="7">
        <f>IF(PaymentSchedule[[#This Row],[PMT NO]]&lt;&gt;"",SUM(INDEX([INTEREST],1,1):PaymentSchedule[[#This Row],[INTEREST]]),"")</f>
        <v>53332.777377184517</v>
      </c>
    </row>
    <row r="152" spans="2:11">
      <c r="B152" s="4">
        <f>IF(LoanIsGood,IF(ROW()-ROW(PaymentSchedule[[#Headers],[PMT NO]])&gt;ScheduledNumberOfPayments,"",ROW()-ROW(PaymentSchedule[[#Headers],[PMT NO]])),"")</f>
        <v>133</v>
      </c>
      <c r="C152" s="5">
        <f>IF(PaymentSchedule[[#This Row],[PMT NO]]&lt;&gt;"",EOMONTH(LoanStartDate,ROW(PaymentSchedule[[#This Row],[PMT NO]])-ROW(PaymentSchedule[[#Headers],[PMT NO]])-2)+DAY(LoanStartDate),"")</f>
        <v>48092</v>
      </c>
      <c r="D152" s="7">
        <f>IF(PaymentSchedule[[#This Row],[PMT NO]]&lt;&gt;"",IF(ROW()-ROW(PaymentSchedule[[#Headers],[BEGINNING BALANCE]])=1,LoanAmount,INDEX([ENDING BALANCE],ROW()-ROW(PaymentSchedule[[#Headers],[BEGINNING BALANCE]])-1)),"")</f>
        <v>93073.824300764201</v>
      </c>
      <c r="E152" s="7">
        <f>IF(PaymentSchedule[[#This Row],[PMT NO]]&lt;&gt;"",ScheduledPayment,"")</f>
        <v>608.02237179106271</v>
      </c>
      <c r="F15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5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52" s="7">
        <f>IF(PaymentSchedule[[#This Row],[PMT NO]]&lt;&gt;"",PaymentSchedule[[#This Row],[TOTAL PAYMENT]]-PaymentSchedule[[#This Row],[INTEREST]],"")</f>
        <v>258.99553066319697</v>
      </c>
      <c r="I152" s="7">
        <f>IF(PaymentSchedule[[#This Row],[PMT NO]]&lt;&gt;"",PaymentSchedule[[#This Row],[BEGINNING BALANCE]]*(InterestRate/PaymentsPerYear),"")</f>
        <v>349.02684112786574</v>
      </c>
      <c r="J152" s="7">
        <f>IF(PaymentSchedule[[#This Row],[PMT NO]]&lt;&gt;"",IF(PaymentSchedule[[#This Row],[SCHEDULED PAYMENT]]+PaymentSchedule[[#This Row],[EXTRA PAYMENT]]&lt;=PaymentSchedule[[#This Row],[BEGINNING BALANCE]],PaymentSchedule[[#This Row],[BEGINNING BALANCE]]-PaymentSchedule[[#This Row],[PRINCIPAL]],0),"")</f>
        <v>92814.828770100998</v>
      </c>
      <c r="K152" s="7">
        <f>IF(PaymentSchedule[[#This Row],[PMT NO]]&lt;&gt;"",SUM(INDEX([INTEREST],1,1):PaymentSchedule[[#This Row],[INTEREST]]),"")</f>
        <v>53681.804218312383</v>
      </c>
    </row>
    <row r="153" spans="2:11">
      <c r="B153" s="4">
        <f>IF(LoanIsGood,IF(ROW()-ROW(PaymentSchedule[[#Headers],[PMT NO]])&gt;ScheduledNumberOfPayments,"",ROW()-ROW(PaymentSchedule[[#Headers],[PMT NO]])),"")</f>
        <v>134</v>
      </c>
      <c r="C153" s="5">
        <f>IF(PaymentSchedule[[#This Row],[PMT NO]]&lt;&gt;"",EOMONTH(LoanStartDate,ROW(PaymentSchedule[[#This Row],[PMT NO]])-ROW(PaymentSchedule[[#Headers],[PMT NO]])-2)+DAY(LoanStartDate),"")</f>
        <v>48122</v>
      </c>
      <c r="D153" s="7">
        <f>IF(PaymentSchedule[[#This Row],[PMT NO]]&lt;&gt;"",IF(ROW()-ROW(PaymentSchedule[[#Headers],[BEGINNING BALANCE]])=1,LoanAmount,INDEX([ENDING BALANCE],ROW()-ROW(PaymentSchedule[[#Headers],[BEGINNING BALANCE]])-1)),"")</f>
        <v>92814.828770100998</v>
      </c>
      <c r="E153" s="7">
        <f>IF(PaymentSchedule[[#This Row],[PMT NO]]&lt;&gt;"",ScheduledPayment,"")</f>
        <v>608.02237179106271</v>
      </c>
      <c r="F15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5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53" s="7">
        <f>IF(PaymentSchedule[[#This Row],[PMT NO]]&lt;&gt;"",PaymentSchedule[[#This Row],[TOTAL PAYMENT]]-PaymentSchedule[[#This Row],[INTEREST]],"")</f>
        <v>259.96676390318396</v>
      </c>
      <c r="I153" s="7">
        <f>IF(PaymentSchedule[[#This Row],[PMT NO]]&lt;&gt;"",PaymentSchedule[[#This Row],[BEGINNING BALANCE]]*(InterestRate/PaymentsPerYear),"")</f>
        <v>348.05560788787875</v>
      </c>
      <c r="J153" s="7">
        <f>IF(PaymentSchedule[[#This Row],[PMT NO]]&lt;&gt;"",IF(PaymentSchedule[[#This Row],[SCHEDULED PAYMENT]]+PaymentSchedule[[#This Row],[EXTRA PAYMENT]]&lt;=PaymentSchedule[[#This Row],[BEGINNING BALANCE]],PaymentSchedule[[#This Row],[BEGINNING BALANCE]]-PaymentSchedule[[#This Row],[PRINCIPAL]],0),"")</f>
        <v>92554.862006197814</v>
      </c>
      <c r="K153" s="7">
        <f>IF(PaymentSchedule[[#This Row],[PMT NO]]&lt;&gt;"",SUM(INDEX([INTEREST],1,1):PaymentSchedule[[#This Row],[INTEREST]]),"")</f>
        <v>54029.859826200263</v>
      </c>
    </row>
    <row r="154" spans="2:11">
      <c r="B154" s="4">
        <f>IF(LoanIsGood,IF(ROW()-ROW(PaymentSchedule[[#Headers],[PMT NO]])&gt;ScheduledNumberOfPayments,"",ROW()-ROW(PaymentSchedule[[#Headers],[PMT NO]])),"")</f>
        <v>135</v>
      </c>
      <c r="C154" s="5">
        <f>IF(PaymentSchedule[[#This Row],[PMT NO]]&lt;&gt;"",EOMONTH(LoanStartDate,ROW(PaymentSchedule[[#This Row],[PMT NO]])-ROW(PaymentSchedule[[#Headers],[PMT NO]])-2)+DAY(LoanStartDate),"")</f>
        <v>48153</v>
      </c>
      <c r="D154" s="7">
        <f>IF(PaymentSchedule[[#This Row],[PMT NO]]&lt;&gt;"",IF(ROW()-ROW(PaymentSchedule[[#Headers],[BEGINNING BALANCE]])=1,LoanAmount,INDEX([ENDING BALANCE],ROW()-ROW(PaymentSchedule[[#Headers],[BEGINNING BALANCE]])-1)),"")</f>
        <v>92554.862006197814</v>
      </c>
      <c r="E154" s="7">
        <f>IF(PaymentSchedule[[#This Row],[PMT NO]]&lt;&gt;"",ScheduledPayment,"")</f>
        <v>608.02237179106271</v>
      </c>
      <c r="F15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5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54" s="7">
        <f>IF(PaymentSchedule[[#This Row],[PMT NO]]&lt;&gt;"",PaymentSchedule[[#This Row],[TOTAL PAYMENT]]-PaymentSchedule[[#This Row],[INTEREST]],"")</f>
        <v>260.9416392678209</v>
      </c>
      <c r="I154" s="7">
        <f>IF(PaymentSchedule[[#This Row],[PMT NO]]&lt;&gt;"",PaymentSchedule[[#This Row],[BEGINNING BALANCE]]*(InterestRate/PaymentsPerYear),"")</f>
        <v>347.08073252324181</v>
      </c>
      <c r="J154" s="7">
        <f>IF(PaymentSchedule[[#This Row],[PMT NO]]&lt;&gt;"",IF(PaymentSchedule[[#This Row],[SCHEDULED PAYMENT]]+PaymentSchedule[[#This Row],[EXTRA PAYMENT]]&lt;=PaymentSchedule[[#This Row],[BEGINNING BALANCE]],PaymentSchedule[[#This Row],[BEGINNING BALANCE]]-PaymentSchedule[[#This Row],[PRINCIPAL]],0),"")</f>
        <v>92293.92036692999</v>
      </c>
      <c r="K154" s="7">
        <f>IF(PaymentSchedule[[#This Row],[PMT NO]]&lt;&gt;"",SUM(INDEX([INTEREST],1,1):PaymentSchedule[[#This Row],[INTEREST]]),"")</f>
        <v>54376.940558723509</v>
      </c>
    </row>
    <row r="155" spans="2:11">
      <c r="B155" s="4">
        <f>IF(LoanIsGood,IF(ROW()-ROW(PaymentSchedule[[#Headers],[PMT NO]])&gt;ScheduledNumberOfPayments,"",ROW()-ROW(PaymentSchedule[[#Headers],[PMT NO]])),"")</f>
        <v>136</v>
      </c>
      <c r="C155" s="5">
        <f>IF(PaymentSchedule[[#This Row],[PMT NO]]&lt;&gt;"",EOMONTH(LoanStartDate,ROW(PaymentSchedule[[#This Row],[PMT NO]])-ROW(PaymentSchedule[[#Headers],[PMT NO]])-2)+DAY(LoanStartDate),"")</f>
        <v>48183</v>
      </c>
      <c r="D155" s="7">
        <f>IF(PaymentSchedule[[#This Row],[PMT NO]]&lt;&gt;"",IF(ROW()-ROW(PaymentSchedule[[#Headers],[BEGINNING BALANCE]])=1,LoanAmount,INDEX([ENDING BALANCE],ROW()-ROW(PaymentSchedule[[#Headers],[BEGINNING BALANCE]])-1)),"")</f>
        <v>92293.92036692999</v>
      </c>
      <c r="E155" s="7">
        <f>IF(PaymentSchedule[[#This Row],[PMT NO]]&lt;&gt;"",ScheduledPayment,"")</f>
        <v>608.02237179106271</v>
      </c>
      <c r="F15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5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55" s="7">
        <f>IF(PaymentSchedule[[#This Row],[PMT NO]]&lt;&gt;"",PaymentSchedule[[#This Row],[TOTAL PAYMENT]]-PaymentSchedule[[#This Row],[INTEREST]],"")</f>
        <v>261.92017041507529</v>
      </c>
      <c r="I155" s="7">
        <f>IF(PaymentSchedule[[#This Row],[PMT NO]]&lt;&gt;"",PaymentSchedule[[#This Row],[BEGINNING BALANCE]]*(InterestRate/PaymentsPerYear),"")</f>
        <v>346.10220137598742</v>
      </c>
      <c r="J155" s="7">
        <f>IF(PaymentSchedule[[#This Row],[PMT NO]]&lt;&gt;"",IF(PaymentSchedule[[#This Row],[SCHEDULED PAYMENT]]+PaymentSchedule[[#This Row],[EXTRA PAYMENT]]&lt;=PaymentSchedule[[#This Row],[BEGINNING BALANCE]],PaymentSchedule[[#This Row],[BEGINNING BALANCE]]-PaymentSchedule[[#This Row],[PRINCIPAL]],0),"")</f>
        <v>92032.000196514913</v>
      </c>
      <c r="K155" s="7">
        <f>IF(PaymentSchedule[[#This Row],[PMT NO]]&lt;&gt;"",SUM(INDEX([INTEREST],1,1):PaymentSchedule[[#This Row],[INTEREST]]),"")</f>
        <v>54723.042760099495</v>
      </c>
    </row>
    <row r="156" spans="2:11">
      <c r="B156" s="4">
        <f>IF(LoanIsGood,IF(ROW()-ROW(PaymentSchedule[[#Headers],[PMT NO]])&gt;ScheduledNumberOfPayments,"",ROW()-ROW(PaymentSchedule[[#Headers],[PMT NO]])),"")</f>
        <v>137</v>
      </c>
      <c r="C156" s="5">
        <f>IF(PaymentSchedule[[#This Row],[PMT NO]]&lt;&gt;"",EOMONTH(LoanStartDate,ROW(PaymentSchedule[[#This Row],[PMT NO]])-ROW(PaymentSchedule[[#Headers],[PMT NO]])-2)+DAY(LoanStartDate),"")</f>
        <v>48214</v>
      </c>
      <c r="D156" s="7">
        <f>IF(PaymentSchedule[[#This Row],[PMT NO]]&lt;&gt;"",IF(ROW()-ROW(PaymentSchedule[[#Headers],[BEGINNING BALANCE]])=1,LoanAmount,INDEX([ENDING BALANCE],ROW()-ROW(PaymentSchedule[[#Headers],[BEGINNING BALANCE]])-1)),"")</f>
        <v>92032.000196514913</v>
      </c>
      <c r="E156" s="7">
        <f>IF(PaymentSchedule[[#This Row],[PMT NO]]&lt;&gt;"",ScheduledPayment,"")</f>
        <v>608.02237179106271</v>
      </c>
      <c r="F15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5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56" s="7">
        <f>IF(PaymentSchedule[[#This Row],[PMT NO]]&lt;&gt;"",PaymentSchedule[[#This Row],[TOTAL PAYMENT]]-PaymentSchedule[[#This Row],[INTEREST]],"")</f>
        <v>262.90237105413178</v>
      </c>
      <c r="I156" s="7">
        <f>IF(PaymentSchedule[[#This Row],[PMT NO]]&lt;&gt;"",PaymentSchedule[[#This Row],[BEGINNING BALANCE]]*(InterestRate/PaymentsPerYear),"")</f>
        <v>345.12000073693093</v>
      </c>
      <c r="J156" s="7">
        <f>IF(PaymentSchedule[[#This Row],[PMT NO]]&lt;&gt;"",IF(PaymentSchedule[[#This Row],[SCHEDULED PAYMENT]]+PaymentSchedule[[#This Row],[EXTRA PAYMENT]]&lt;=PaymentSchedule[[#This Row],[BEGINNING BALANCE]],PaymentSchedule[[#This Row],[BEGINNING BALANCE]]-PaymentSchedule[[#This Row],[PRINCIPAL]],0),"")</f>
        <v>91769.097825460776</v>
      </c>
      <c r="K156" s="7">
        <f>IF(PaymentSchedule[[#This Row],[PMT NO]]&lt;&gt;"",SUM(INDEX([INTEREST],1,1):PaymentSchedule[[#This Row],[INTEREST]]),"")</f>
        <v>55068.162760836429</v>
      </c>
    </row>
    <row r="157" spans="2:11">
      <c r="B157" s="4">
        <f>IF(LoanIsGood,IF(ROW()-ROW(PaymentSchedule[[#Headers],[PMT NO]])&gt;ScheduledNumberOfPayments,"",ROW()-ROW(PaymentSchedule[[#Headers],[PMT NO]])),"")</f>
        <v>138</v>
      </c>
      <c r="C157" s="5">
        <f>IF(PaymentSchedule[[#This Row],[PMT NO]]&lt;&gt;"",EOMONTH(LoanStartDate,ROW(PaymentSchedule[[#This Row],[PMT NO]])-ROW(PaymentSchedule[[#Headers],[PMT NO]])-2)+DAY(LoanStartDate),"")</f>
        <v>48245</v>
      </c>
      <c r="D157" s="7">
        <f>IF(PaymentSchedule[[#This Row],[PMT NO]]&lt;&gt;"",IF(ROW()-ROW(PaymentSchedule[[#Headers],[BEGINNING BALANCE]])=1,LoanAmount,INDEX([ENDING BALANCE],ROW()-ROW(PaymentSchedule[[#Headers],[BEGINNING BALANCE]])-1)),"")</f>
        <v>91769.097825460776</v>
      </c>
      <c r="E157" s="7">
        <f>IF(PaymentSchedule[[#This Row],[PMT NO]]&lt;&gt;"",ScheduledPayment,"")</f>
        <v>608.02237179106271</v>
      </c>
      <c r="F15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5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57" s="7">
        <f>IF(PaymentSchedule[[#This Row],[PMT NO]]&lt;&gt;"",PaymentSchedule[[#This Row],[TOTAL PAYMENT]]-PaymentSchedule[[#This Row],[INTEREST]],"")</f>
        <v>263.88825494558483</v>
      </c>
      <c r="I157" s="7">
        <f>IF(PaymentSchedule[[#This Row],[PMT NO]]&lt;&gt;"",PaymentSchedule[[#This Row],[BEGINNING BALANCE]]*(InterestRate/PaymentsPerYear),"")</f>
        <v>344.13411684547788</v>
      </c>
      <c r="J157" s="7">
        <f>IF(PaymentSchedule[[#This Row],[PMT NO]]&lt;&gt;"",IF(PaymentSchedule[[#This Row],[SCHEDULED PAYMENT]]+PaymentSchedule[[#This Row],[EXTRA PAYMENT]]&lt;=PaymentSchedule[[#This Row],[BEGINNING BALANCE]],PaymentSchedule[[#This Row],[BEGINNING BALANCE]]-PaymentSchedule[[#This Row],[PRINCIPAL]],0),"")</f>
        <v>91505.209570515188</v>
      </c>
      <c r="K157" s="7">
        <f>IF(PaymentSchedule[[#This Row],[PMT NO]]&lt;&gt;"",SUM(INDEX([INTEREST],1,1):PaymentSchedule[[#This Row],[INTEREST]]),"")</f>
        <v>55412.296877681903</v>
      </c>
    </row>
    <row r="158" spans="2:11">
      <c r="B158" s="4">
        <f>IF(LoanIsGood,IF(ROW()-ROW(PaymentSchedule[[#Headers],[PMT NO]])&gt;ScheduledNumberOfPayments,"",ROW()-ROW(PaymentSchedule[[#Headers],[PMT NO]])),"")</f>
        <v>139</v>
      </c>
      <c r="C158" s="5">
        <f>IF(PaymentSchedule[[#This Row],[PMT NO]]&lt;&gt;"",EOMONTH(LoanStartDate,ROW(PaymentSchedule[[#This Row],[PMT NO]])-ROW(PaymentSchedule[[#Headers],[PMT NO]])-2)+DAY(LoanStartDate),"")</f>
        <v>48274</v>
      </c>
      <c r="D158" s="7">
        <f>IF(PaymentSchedule[[#This Row],[PMT NO]]&lt;&gt;"",IF(ROW()-ROW(PaymentSchedule[[#Headers],[BEGINNING BALANCE]])=1,LoanAmount,INDEX([ENDING BALANCE],ROW()-ROW(PaymentSchedule[[#Headers],[BEGINNING BALANCE]])-1)),"")</f>
        <v>91505.209570515188</v>
      </c>
      <c r="E158" s="7">
        <f>IF(PaymentSchedule[[#This Row],[PMT NO]]&lt;&gt;"",ScheduledPayment,"")</f>
        <v>608.02237179106271</v>
      </c>
      <c r="F15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5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58" s="7">
        <f>IF(PaymentSchedule[[#This Row],[PMT NO]]&lt;&gt;"",PaymentSchedule[[#This Row],[TOTAL PAYMENT]]-PaymentSchedule[[#This Row],[INTEREST]],"")</f>
        <v>264.87783590163076</v>
      </c>
      <c r="I158" s="7">
        <f>IF(PaymentSchedule[[#This Row],[PMT NO]]&lt;&gt;"",PaymentSchedule[[#This Row],[BEGINNING BALANCE]]*(InterestRate/PaymentsPerYear),"")</f>
        <v>343.14453588943195</v>
      </c>
      <c r="J158" s="7">
        <f>IF(PaymentSchedule[[#This Row],[PMT NO]]&lt;&gt;"",IF(PaymentSchedule[[#This Row],[SCHEDULED PAYMENT]]+PaymentSchedule[[#This Row],[EXTRA PAYMENT]]&lt;=PaymentSchedule[[#This Row],[BEGINNING BALANCE]],PaymentSchedule[[#This Row],[BEGINNING BALANCE]]-PaymentSchedule[[#This Row],[PRINCIPAL]],0),"")</f>
        <v>91240.331734613559</v>
      </c>
      <c r="K158" s="7">
        <f>IF(PaymentSchedule[[#This Row],[PMT NO]]&lt;&gt;"",SUM(INDEX([INTEREST],1,1):PaymentSchedule[[#This Row],[INTEREST]]),"")</f>
        <v>55755.441413571338</v>
      </c>
    </row>
    <row r="159" spans="2:11">
      <c r="B159" s="4">
        <f>IF(LoanIsGood,IF(ROW()-ROW(PaymentSchedule[[#Headers],[PMT NO]])&gt;ScheduledNumberOfPayments,"",ROW()-ROW(PaymentSchedule[[#Headers],[PMT NO]])),"")</f>
        <v>140</v>
      </c>
      <c r="C159" s="5">
        <f>IF(PaymentSchedule[[#This Row],[PMT NO]]&lt;&gt;"",EOMONTH(LoanStartDate,ROW(PaymentSchedule[[#This Row],[PMT NO]])-ROW(PaymentSchedule[[#Headers],[PMT NO]])-2)+DAY(LoanStartDate),"")</f>
        <v>48305</v>
      </c>
      <c r="D159" s="7">
        <f>IF(PaymentSchedule[[#This Row],[PMT NO]]&lt;&gt;"",IF(ROW()-ROW(PaymentSchedule[[#Headers],[BEGINNING BALANCE]])=1,LoanAmount,INDEX([ENDING BALANCE],ROW()-ROW(PaymentSchedule[[#Headers],[BEGINNING BALANCE]])-1)),"")</f>
        <v>91240.331734613559</v>
      </c>
      <c r="E159" s="7">
        <f>IF(PaymentSchedule[[#This Row],[PMT NO]]&lt;&gt;"",ScheduledPayment,"")</f>
        <v>608.02237179106271</v>
      </c>
      <c r="F15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5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59" s="7">
        <f>IF(PaymentSchedule[[#This Row],[PMT NO]]&lt;&gt;"",PaymentSchedule[[#This Row],[TOTAL PAYMENT]]-PaymentSchedule[[#This Row],[INTEREST]],"")</f>
        <v>265.87112778626187</v>
      </c>
      <c r="I159" s="7">
        <f>IF(PaymentSchedule[[#This Row],[PMT NO]]&lt;&gt;"",PaymentSchedule[[#This Row],[BEGINNING BALANCE]]*(InterestRate/PaymentsPerYear),"")</f>
        <v>342.15124400480084</v>
      </c>
      <c r="J159" s="7">
        <f>IF(PaymentSchedule[[#This Row],[PMT NO]]&lt;&gt;"",IF(PaymentSchedule[[#This Row],[SCHEDULED PAYMENT]]+PaymentSchedule[[#This Row],[EXTRA PAYMENT]]&lt;=PaymentSchedule[[#This Row],[BEGINNING BALANCE]],PaymentSchedule[[#This Row],[BEGINNING BALANCE]]-PaymentSchedule[[#This Row],[PRINCIPAL]],0),"")</f>
        <v>90974.460606827299</v>
      </c>
      <c r="K159" s="7">
        <f>IF(PaymentSchedule[[#This Row],[PMT NO]]&lt;&gt;"",SUM(INDEX([INTEREST],1,1):PaymentSchedule[[#This Row],[INTEREST]]),"")</f>
        <v>56097.59265757614</v>
      </c>
    </row>
    <row r="160" spans="2:11">
      <c r="B160" s="4">
        <f>IF(LoanIsGood,IF(ROW()-ROW(PaymentSchedule[[#Headers],[PMT NO]])&gt;ScheduledNumberOfPayments,"",ROW()-ROW(PaymentSchedule[[#Headers],[PMT NO]])),"")</f>
        <v>141</v>
      </c>
      <c r="C160" s="5">
        <f>IF(PaymentSchedule[[#This Row],[PMT NO]]&lt;&gt;"",EOMONTH(LoanStartDate,ROW(PaymentSchedule[[#This Row],[PMT NO]])-ROW(PaymentSchedule[[#Headers],[PMT NO]])-2)+DAY(LoanStartDate),"")</f>
        <v>48335</v>
      </c>
      <c r="D160" s="7">
        <f>IF(PaymentSchedule[[#This Row],[PMT NO]]&lt;&gt;"",IF(ROW()-ROW(PaymentSchedule[[#Headers],[BEGINNING BALANCE]])=1,LoanAmount,INDEX([ENDING BALANCE],ROW()-ROW(PaymentSchedule[[#Headers],[BEGINNING BALANCE]])-1)),"")</f>
        <v>90974.460606827299</v>
      </c>
      <c r="E160" s="7">
        <f>IF(PaymentSchedule[[#This Row],[PMT NO]]&lt;&gt;"",ScheduledPayment,"")</f>
        <v>608.02237179106271</v>
      </c>
      <c r="F16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6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60" s="7">
        <f>IF(PaymentSchedule[[#This Row],[PMT NO]]&lt;&gt;"",PaymentSchedule[[#This Row],[TOTAL PAYMENT]]-PaymentSchedule[[#This Row],[INTEREST]],"")</f>
        <v>266.86814451546036</v>
      </c>
      <c r="I160" s="7">
        <f>IF(PaymentSchedule[[#This Row],[PMT NO]]&lt;&gt;"",PaymentSchedule[[#This Row],[BEGINNING BALANCE]]*(InterestRate/PaymentsPerYear),"")</f>
        <v>341.15422727560235</v>
      </c>
      <c r="J160" s="7">
        <f>IF(PaymentSchedule[[#This Row],[PMT NO]]&lt;&gt;"",IF(PaymentSchedule[[#This Row],[SCHEDULED PAYMENT]]+PaymentSchedule[[#This Row],[EXTRA PAYMENT]]&lt;=PaymentSchedule[[#This Row],[BEGINNING BALANCE]],PaymentSchedule[[#This Row],[BEGINNING BALANCE]]-PaymentSchedule[[#This Row],[PRINCIPAL]],0),"")</f>
        <v>90707.592462311834</v>
      </c>
      <c r="K160" s="7">
        <f>IF(PaymentSchedule[[#This Row],[PMT NO]]&lt;&gt;"",SUM(INDEX([INTEREST],1,1):PaymentSchedule[[#This Row],[INTEREST]]),"")</f>
        <v>56438.746884851746</v>
      </c>
    </row>
    <row r="161" spans="2:11">
      <c r="B161" s="4">
        <f>IF(LoanIsGood,IF(ROW()-ROW(PaymentSchedule[[#Headers],[PMT NO]])&gt;ScheduledNumberOfPayments,"",ROW()-ROW(PaymentSchedule[[#Headers],[PMT NO]])),"")</f>
        <v>142</v>
      </c>
      <c r="C161" s="5">
        <f>IF(PaymentSchedule[[#This Row],[PMT NO]]&lt;&gt;"",EOMONTH(LoanStartDate,ROW(PaymentSchedule[[#This Row],[PMT NO]])-ROW(PaymentSchedule[[#Headers],[PMT NO]])-2)+DAY(LoanStartDate),"")</f>
        <v>48366</v>
      </c>
      <c r="D161" s="7">
        <f>IF(PaymentSchedule[[#This Row],[PMT NO]]&lt;&gt;"",IF(ROW()-ROW(PaymentSchedule[[#Headers],[BEGINNING BALANCE]])=1,LoanAmount,INDEX([ENDING BALANCE],ROW()-ROW(PaymentSchedule[[#Headers],[BEGINNING BALANCE]])-1)),"")</f>
        <v>90707.592462311834</v>
      </c>
      <c r="E161" s="7">
        <f>IF(PaymentSchedule[[#This Row],[PMT NO]]&lt;&gt;"",ScheduledPayment,"")</f>
        <v>608.02237179106271</v>
      </c>
      <c r="F16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6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61" s="7">
        <f>IF(PaymentSchedule[[#This Row],[PMT NO]]&lt;&gt;"",PaymentSchedule[[#This Row],[TOTAL PAYMENT]]-PaymentSchedule[[#This Row],[INTEREST]],"")</f>
        <v>267.86890005739338</v>
      </c>
      <c r="I161" s="7">
        <f>IF(PaymentSchedule[[#This Row],[PMT NO]]&lt;&gt;"",PaymentSchedule[[#This Row],[BEGINNING BALANCE]]*(InterestRate/PaymentsPerYear),"")</f>
        <v>340.15347173366933</v>
      </c>
      <c r="J161" s="7">
        <f>IF(PaymentSchedule[[#This Row],[PMT NO]]&lt;&gt;"",IF(PaymentSchedule[[#This Row],[SCHEDULED PAYMENT]]+PaymentSchedule[[#This Row],[EXTRA PAYMENT]]&lt;=PaymentSchedule[[#This Row],[BEGINNING BALANCE]],PaymentSchedule[[#This Row],[BEGINNING BALANCE]]-PaymentSchedule[[#This Row],[PRINCIPAL]],0),"")</f>
        <v>90439.723562254439</v>
      </c>
      <c r="K161" s="7">
        <f>IF(PaymentSchedule[[#This Row],[PMT NO]]&lt;&gt;"",SUM(INDEX([INTEREST],1,1):PaymentSchedule[[#This Row],[INTEREST]]),"")</f>
        <v>56778.900356585415</v>
      </c>
    </row>
    <row r="162" spans="2:11">
      <c r="B162" s="4">
        <f>IF(LoanIsGood,IF(ROW()-ROW(PaymentSchedule[[#Headers],[PMT NO]])&gt;ScheduledNumberOfPayments,"",ROW()-ROW(PaymentSchedule[[#Headers],[PMT NO]])),"")</f>
        <v>143</v>
      </c>
      <c r="C162" s="5">
        <f>IF(PaymentSchedule[[#This Row],[PMT NO]]&lt;&gt;"",EOMONTH(LoanStartDate,ROW(PaymentSchedule[[#This Row],[PMT NO]])-ROW(PaymentSchedule[[#Headers],[PMT NO]])-2)+DAY(LoanStartDate),"")</f>
        <v>48396</v>
      </c>
      <c r="D162" s="7">
        <f>IF(PaymentSchedule[[#This Row],[PMT NO]]&lt;&gt;"",IF(ROW()-ROW(PaymentSchedule[[#Headers],[BEGINNING BALANCE]])=1,LoanAmount,INDEX([ENDING BALANCE],ROW()-ROW(PaymentSchedule[[#Headers],[BEGINNING BALANCE]])-1)),"")</f>
        <v>90439.723562254439</v>
      </c>
      <c r="E162" s="7">
        <f>IF(PaymentSchedule[[#This Row],[PMT NO]]&lt;&gt;"",ScheduledPayment,"")</f>
        <v>608.02237179106271</v>
      </c>
      <c r="F16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6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62" s="7">
        <f>IF(PaymentSchedule[[#This Row],[PMT NO]]&lt;&gt;"",PaymentSchedule[[#This Row],[TOTAL PAYMENT]]-PaymentSchedule[[#This Row],[INTEREST]],"")</f>
        <v>268.87340843260858</v>
      </c>
      <c r="I162" s="7">
        <f>IF(PaymentSchedule[[#This Row],[PMT NO]]&lt;&gt;"",PaymentSchedule[[#This Row],[BEGINNING BALANCE]]*(InterestRate/PaymentsPerYear),"")</f>
        <v>339.14896335845413</v>
      </c>
      <c r="J162" s="7">
        <f>IF(PaymentSchedule[[#This Row],[PMT NO]]&lt;&gt;"",IF(PaymentSchedule[[#This Row],[SCHEDULED PAYMENT]]+PaymentSchedule[[#This Row],[EXTRA PAYMENT]]&lt;=PaymentSchedule[[#This Row],[BEGINNING BALANCE]],PaymentSchedule[[#This Row],[BEGINNING BALANCE]]-PaymentSchedule[[#This Row],[PRINCIPAL]],0),"")</f>
        <v>90170.850153821826</v>
      </c>
      <c r="K162" s="7">
        <f>IF(PaymentSchedule[[#This Row],[PMT NO]]&lt;&gt;"",SUM(INDEX([INTEREST],1,1):PaymentSchedule[[#This Row],[INTEREST]]),"")</f>
        <v>57118.049319943872</v>
      </c>
    </row>
    <row r="163" spans="2:11">
      <c r="B163" s="4">
        <f>IF(LoanIsGood,IF(ROW()-ROW(PaymentSchedule[[#Headers],[PMT NO]])&gt;ScheduledNumberOfPayments,"",ROW()-ROW(PaymentSchedule[[#Headers],[PMT NO]])),"")</f>
        <v>144</v>
      </c>
      <c r="C163" s="5">
        <f>IF(PaymentSchedule[[#This Row],[PMT NO]]&lt;&gt;"",EOMONTH(LoanStartDate,ROW(PaymentSchedule[[#This Row],[PMT NO]])-ROW(PaymentSchedule[[#Headers],[PMT NO]])-2)+DAY(LoanStartDate),"")</f>
        <v>48427</v>
      </c>
      <c r="D163" s="7">
        <f>IF(PaymentSchedule[[#This Row],[PMT NO]]&lt;&gt;"",IF(ROW()-ROW(PaymentSchedule[[#Headers],[BEGINNING BALANCE]])=1,LoanAmount,INDEX([ENDING BALANCE],ROW()-ROW(PaymentSchedule[[#Headers],[BEGINNING BALANCE]])-1)),"")</f>
        <v>90170.850153821826</v>
      </c>
      <c r="E163" s="7">
        <f>IF(PaymentSchedule[[#This Row],[PMT NO]]&lt;&gt;"",ScheduledPayment,"")</f>
        <v>608.02237179106271</v>
      </c>
      <c r="F16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6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63" s="7">
        <f>IF(PaymentSchedule[[#This Row],[PMT NO]]&lt;&gt;"",PaymentSchedule[[#This Row],[TOTAL PAYMENT]]-PaymentSchedule[[#This Row],[INTEREST]],"")</f>
        <v>269.88168371423086</v>
      </c>
      <c r="I163" s="7">
        <f>IF(PaymentSchedule[[#This Row],[PMT NO]]&lt;&gt;"",PaymentSchedule[[#This Row],[BEGINNING BALANCE]]*(InterestRate/PaymentsPerYear),"")</f>
        <v>338.14068807683185</v>
      </c>
      <c r="J163" s="7">
        <f>IF(PaymentSchedule[[#This Row],[PMT NO]]&lt;&gt;"",IF(PaymentSchedule[[#This Row],[SCHEDULED PAYMENT]]+PaymentSchedule[[#This Row],[EXTRA PAYMENT]]&lt;=PaymentSchedule[[#This Row],[BEGINNING BALANCE]],PaymentSchedule[[#This Row],[BEGINNING BALANCE]]-PaymentSchedule[[#This Row],[PRINCIPAL]],0),"")</f>
        <v>89900.968470107589</v>
      </c>
      <c r="K163" s="7">
        <f>IF(PaymentSchedule[[#This Row],[PMT NO]]&lt;&gt;"",SUM(INDEX([INTEREST],1,1):PaymentSchedule[[#This Row],[INTEREST]]),"")</f>
        <v>57456.190008020705</v>
      </c>
    </row>
    <row r="164" spans="2:11">
      <c r="B164" s="4">
        <f>IF(LoanIsGood,IF(ROW()-ROW(PaymentSchedule[[#Headers],[PMT NO]])&gt;ScheduledNumberOfPayments,"",ROW()-ROW(PaymentSchedule[[#Headers],[PMT NO]])),"")</f>
        <v>145</v>
      </c>
      <c r="C164" s="5">
        <f>IF(PaymentSchedule[[#This Row],[PMT NO]]&lt;&gt;"",EOMONTH(LoanStartDate,ROW(PaymentSchedule[[#This Row],[PMT NO]])-ROW(PaymentSchedule[[#Headers],[PMT NO]])-2)+DAY(LoanStartDate),"")</f>
        <v>48458</v>
      </c>
      <c r="D164" s="7">
        <f>IF(PaymentSchedule[[#This Row],[PMT NO]]&lt;&gt;"",IF(ROW()-ROW(PaymentSchedule[[#Headers],[BEGINNING BALANCE]])=1,LoanAmount,INDEX([ENDING BALANCE],ROW()-ROW(PaymentSchedule[[#Headers],[BEGINNING BALANCE]])-1)),"")</f>
        <v>89900.968470107589</v>
      </c>
      <c r="E164" s="7">
        <f>IF(PaymentSchedule[[#This Row],[PMT NO]]&lt;&gt;"",ScheduledPayment,"")</f>
        <v>608.02237179106271</v>
      </c>
      <c r="F16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6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64" s="7">
        <f>IF(PaymentSchedule[[#This Row],[PMT NO]]&lt;&gt;"",PaymentSchedule[[#This Row],[TOTAL PAYMENT]]-PaymentSchedule[[#This Row],[INTEREST]],"")</f>
        <v>270.89374002815924</v>
      </c>
      <c r="I164" s="7">
        <f>IF(PaymentSchedule[[#This Row],[PMT NO]]&lt;&gt;"",PaymentSchedule[[#This Row],[BEGINNING BALANCE]]*(InterestRate/PaymentsPerYear),"")</f>
        <v>337.12863176290347</v>
      </c>
      <c r="J164" s="7">
        <f>IF(PaymentSchedule[[#This Row],[PMT NO]]&lt;&gt;"",IF(PaymentSchedule[[#This Row],[SCHEDULED PAYMENT]]+PaymentSchedule[[#This Row],[EXTRA PAYMENT]]&lt;=PaymentSchedule[[#This Row],[BEGINNING BALANCE]],PaymentSchedule[[#This Row],[BEGINNING BALANCE]]-PaymentSchedule[[#This Row],[PRINCIPAL]],0),"")</f>
        <v>89630.074730079432</v>
      </c>
      <c r="K164" s="7">
        <f>IF(PaymentSchedule[[#This Row],[PMT NO]]&lt;&gt;"",SUM(INDEX([INTEREST],1,1):PaymentSchedule[[#This Row],[INTEREST]]),"")</f>
        <v>57793.318639783611</v>
      </c>
    </row>
    <row r="165" spans="2:11">
      <c r="B165" s="4">
        <f>IF(LoanIsGood,IF(ROW()-ROW(PaymentSchedule[[#Headers],[PMT NO]])&gt;ScheduledNumberOfPayments,"",ROW()-ROW(PaymentSchedule[[#Headers],[PMT NO]])),"")</f>
        <v>146</v>
      </c>
      <c r="C165" s="5">
        <f>IF(PaymentSchedule[[#This Row],[PMT NO]]&lt;&gt;"",EOMONTH(LoanStartDate,ROW(PaymentSchedule[[#This Row],[PMT NO]])-ROW(PaymentSchedule[[#Headers],[PMT NO]])-2)+DAY(LoanStartDate),"")</f>
        <v>48488</v>
      </c>
      <c r="D165" s="7">
        <f>IF(PaymentSchedule[[#This Row],[PMT NO]]&lt;&gt;"",IF(ROW()-ROW(PaymentSchedule[[#Headers],[BEGINNING BALANCE]])=1,LoanAmount,INDEX([ENDING BALANCE],ROW()-ROW(PaymentSchedule[[#Headers],[BEGINNING BALANCE]])-1)),"")</f>
        <v>89630.074730079432</v>
      </c>
      <c r="E165" s="7">
        <f>IF(PaymentSchedule[[#This Row],[PMT NO]]&lt;&gt;"",ScheduledPayment,"")</f>
        <v>608.02237179106271</v>
      </c>
      <c r="F16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6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65" s="7">
        <f>IF(PaymentSchedule[[#This Row],[PMT NO]]&lt;&gt;"",PaymentSchedule[[#This Row],[TOTAL PAYMENT]]-PaymentSchedule[[#This Row],[INTEREST]],"")</f>
        <v>271.90959155326487</v>
      </c>
      <c r="I165" s="7">
        <f>IF(PaymentSchedule[[#This Row],[PMT NO]]&lt;&gt;"",PaymentSchedule[[#This Row],[BEGINNING BALANCE]]*(InterestRate/PaymentsPerYear),"")</f>
        <v>336.11278023779784</v>
      </c>
      <c r="J165" s="7">
        <f>IF(PaymentSchedule[[#This Row],[PMT NO]]&lt;&gt;"",IF(PaymentSchedule[[#This Row],[SCHEDULED PAYMENT]]+PaymentSchedule[[#This Row],[EXTRA PAYMENT]]&lt;=PaymentSchedule[[#This Row],[BEGINNING BALANCE]],PaymentSchedule[[#This Row],[BEGINNING BALANCE]]-PaymentSchedule[[#This Row],[PRINCIPAL]],0),"")</f>
        <v>89358.165138526165</v>
      </c>
      <c r="K165" s="7">
        <f>IF(PaymentSchedule[[#This Row],[PMT NO]]&lt;&gt;"",SUM(INDEX([INTEREST],1,1):PaymentSchedule[[#This Row],[INTEREST]]),"")</f>
        <v>58129.431420021407</v>
      </c>
    </row>
    <row r="166" spans="2:11">
      <c r="B166" s="4">
        <f>IF(LoanIsGood,IF(ROW()-ROW(PaymentSchedule[[#Headers],[PMT NO]])&gt;ScheduledNumberOfPayments,"",ROW()-ROW(PaymentSchedule[[#Headers],[PMT NO]])),"")</f>
        <v>147</v>
      </c>
      <c r="C166" s="5">
        <f>IF(PaymentSchedule[[#This Row],[PMT NO]]&lt;&gt;"",EOMONTH(LoanStartDate,ROW(PaymentSchedule[[#This Row],[PMT NO]])-ROW(PaymentSchedule[[#Headers],[PMT NO]])-2)+DAY(LoanStartDate),"")</f>
        <v>48519</v>
      </c>
      <c r="D166" s="7">
        <f>IF(PaymentSchedule[[#This Row],[PMT NO]]&lt;&gt;"",IF(ROW()-ROW(PaymentSchedule[[#Headers],[BEGINNING BALANCE]])=1,LoanAmount,INDEX([ENDING BALANCE],ROW()-ROW(PaymentSchedule[[#Headers],[BEGINNING BALANCE]])-1)),"")</f>
        <v>89358.165138526165</v>
      </c>
      <c r="E166" s="7">
        <f>IF(PaymentSchedule[[#This Row],[PMT NO]]&lt;&gt;"",ScheduledPayment,"")</f>
        <v>608.02237179106271</v>
      </c>
      <c r="F16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6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66" s="7">
        <f>IF(PaymentSchedule[[#This Row],[PMT NO]]&lt;&gt;"",PaymentSchedule[[#This Row],[TOTAL PAYMENT]]-PaymentSchedule[[#This Row],[INTEREST]],"")</f>
        <v>272.9292525215896</v>
      </c>
      <c r="I166" s="7">
        <f>IF(PaymentSchedule[[#This Row],[PMT NO]]&lt;&gt;"",PaymentSchedule[[#This Row],[BEGINNING BALANCE]]*(InterestRate/PaymentsPerYear),"")</f>
        <v>335.09311926947311</v>
      </c>
      <c r="J166" s="7">
        <f>IF(PaymentSchedule[[#This Row],[PMT NO]]&lt;&gt;"",IF(PaymentSchedule[[#This Row],[SCHEDULED PAYMENT]]+PaymentSchedule[[#This Row],[EXTRA PAYMENT]]&lt;=PaymentSchedule[[#This Row],[BEGINNING BALANCE]],PaymentSchedule[[#This Row],[BEGINNING BALANCE]]-PaymentSchedule[[#This Row],[PRINCIPAL]],0),"")</f>
        <v>89085.235886004579</v>
      </c>
      <c r="K166" s="7">
        <f>IF(PaymentSchedule[[#This Row],[PMT NO]]&lt;&gt;"",SUM(INDEX([INTEREST],1,1):PaymentSchedule[[#This Row],[INTEREST]]),"")</f>
        <v>58464.524539290876</v>
      </c>
    </row>
    <row r="167" spans="2:11">
      <c r="B167" s="4">
        <f>IF(LoanIsGood,IF(ROW()-ROW(PaymentSchedule[[#Headers],[PMT NO]])&gt;ScheduledNumberOfPayments,"",ROW()-ROW(PaymentSchedule[[#Headers],[PMT NO]])),"")</f>
        <v>148</v>
      </c>
      <c r="C167" s="5">
        <f>IF(PaymentSchedule[[#This Row],[PMT NO]]&lt;&gt;"",EOMONTH(LoanStartDate,ROW(PaymentSchedule[[#This Row],[PMT NO]])-ROW(PaymentSchedule[[#Headers],[PMT NO]])-2)+DAY(LoanStartDate),"")</f>
        <v>48549</v>
      </c>
      <c r="D167" s="7">
        <f>IF(PaymentSchedule[[#This Row],[PMT NO]]&lt;&gt;"",IF(ROW()-ROW(PaymentSchedule[[#Headers],[BEGINNING BALANCE]])=1,LoanAmount,INDEX([ENDING BALANCE],ROW()-ROW(PaymentSchedule[[#Headers],[BEGINNING BALANCE]])-1)),"")</f>
        <v>89085.235886004579</v>
      </c>
      <c r="E167" s="7">
        <f>IF(PaymentSchedule[[#This Row],[PMT NO]]&lt;&gt;"",ScheduledPayment,"")</f>
        <v>608.02237179106271</v>
      </c>
      <c r="F16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6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67" s="7">
        <f>IF(PaymentSchedule[[#This Row],[PMT NO]]&lt;&gt;"",PaymentSchedule[[#This Row],[TOTAL PAYMENT]]-PaymentSchedule[[#This Row],[INTEREST]],"")</f>
        <v>273.95273721854556</v>
      </c>
      <c r="I167" s="7">
        <f>IF(PaymentSchedule[[#This Row],[PMT NO]]&lt;&gt;"",PaymentSchedule[[#This Row],[BEGINNING BALANCE]]*(InterestRate/PaymentsPerYear),"")</f>
        <v>334.06963457251715</v>
      </c>
      <c r="J167" s="7">
        <f>IF(PaymentSchedule[[#This Row],[PMT NO]]&lt;&gt;"",IF(PaymentSchedule[[#This Row],[SCHEDULED PAYMENT]]+PaymentSchedule[[#This Row],[EXTRA PAYMENT]]&lt;=PaymentSchedule[[#This Row],[BEGINNING BALANCE]],PaymentSchedule[[#This Row],[BEGINNING BALANCE]]-PaymentSchedule[[#This Row],[PRINCIPAL]],0),"")</f>
        <v>88811.283148786039</v>
      </c>
      <c r="K167" s="7">
        <f>IF(PaymentSchedule[[#This Row],[PMT NO]]&lt;&gt;"",SUM(INDEX([INTEREST],1,1):PaymentSchedule[[#This Row],[INTEREST]]),"")</f>
        <v>58798.594173863392</v>
      </c>
    </row>
    <row r="168" spans="2:11">
      <c r="B168" s="4">
        <f>IF(LoanIsGood,IF(ROW()-ROW(PaymentSchedule[[#Headers],[PMT NO]])&gt;ScheduledNumberOfPayments,"",ROW()-ROW(PaymentSchedule[[#Headers],[PMT NO]])),"")</f>
        <v>149</v>
      </c>
      <c r="C168" s="5">
        <f>IF(PaymentSchedule[[#This Row],[PMT NO]]&lt;&gt;"",EOMONTH(LoanStartDate,ROW(PaymentSchedule[[#This Row],[PMT NO]])-ROW(PaymentSchedule[[#Headers],[PMT NO]])-2)+DAY(LoanStartDate),"")</f>
        <v>48580</v>
      </c>
      <c r="D168" s="7">
        <f>IF(PaymentSchedule[[#This Row],[PMT NO]]&lt;&gt;"",IF(ROW()-ROW(PaymentSchedule[[#Headers],[BEGINNING BALANCE]])=1,LoanAmount,INDEX([ENDING BALANCE],ROW()-ROW(PaymentSchedule[[#Headers],[BEGINNING BALANCE]])-1)),"")</f>
        <v>88811.283148786039</v>
      </c>
      <c r="E168" s="7">
        <f>IF(PaymentSchedule[[#This Row],[PMT NO]]&lt;&gt;"",ScheduledPayment,"")</f>
        <v>608.02237179106271</v>
      </c>
      <c r="F16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6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68" s="7">
        <f>IF(PaymentSchedule[[#This Row],[PMT NO]]&lt;&gt;"",PaymentSchedule[[#This Row],[TOTAL PAYMENT]]-PaymentSchedule[[#This Row],[INTEREST]],"")</f>
        <v>274.9800599831151</v>
      </c>
      <c r="I168" s="7">
        <f>IF(PaymentSchedule[[#This Row],[PMT NO]]&lt;&gt;"",PaymentSchedule[[#This Row],[BEGINNING BALANCE]]*(InterestRate/PaymentsPerYear),"")</f>
        <v>333.04231180794761</v>
      </c>
      <c r="J168" s="7">
        <f>IF(PaymentSchedule[[#This Row],[PMT NO]]&lt;&gt;"",IF(PaymentSchedule[[#This Row],[SCHEDULED PAYMENT]]+PaymentSchedule[[#This Row],[EXTRA PAYMENT]]&lt;=PaymentSchedule[[#This Row],[BEGINNING BALANCE]],PaymentSchedule[[#This Row],[BEGINNING BALANCE]]-PaymentSchedule[[#This Row],[PRINCIPAL]],0),"")</f>
        <v>88536.303088802917</v>
      </c>
      <c r="K168" s="7">
        <f>IF(PaymentSchedule[[#This Row],[PMT NO]]&lt;&gt;"",SUM(INDEX([INTEREST],1,1):PaymentSchedule[[#This Row],[INTEREST]]),"")</f>
        <v>59131.636485671341</v>
      </c>
    </row>
    <row r="169" spans="2:11">
      <c r="B169" s="4">
        <f>IF(LoanIsGood,IF(ROW()-ROW(PaymentSchedule[[#Headers],[PMT NO]])&gt;ScheduledNumberOfPayments,"",ROW()-ROW(PaymentSchedule[[#Headers],[PMT NO]])),"")</f>
        <v>150</v>
      </c>
      <c r="C169" s="5">
        <f>IF(PaymentSchedule[[#This Row],[PMT NO]]&lt;&gt;"",EOMONTH(LoanStartDate,ROW(PaymentSchedule[[#This Row],[PMT NO]])-ROW(PaymentSchedule[[#Headers],[PMT NO]])-2)+DAY(LoanStartDate),"")</f>
        <v>48611</v>
      </c>
      <c r="D169" s="7">
        <f>IF(PaymentSchedule[[#This Row],[PMT NO]]&lt;&gt;"",IF(ROW()-ROW(PaymentSchedule[[#Headers],[BEGINNING BALANCE]])=1,LoanAmount,INDEX([ENDING BALANCE],ROW()-ROW(PaymentSchedule[[#Headers],[BEGINNING BALANCE]])-1)),"")</f>
        <v>88536.303088802917</v>
      </c>
      <c r="E169" s="7">
        <f>IF(PaymentSchedule[[#This Row],[PMT NO]]&lt;&gt;"",ScheduledPayment,"")</f>
        <v>608.02237179106271</v>
      </c>
      <c r="F16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6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69" s="7">
        <f>IF(PaymentSchedule[[#This Row],[PMT NO]]&lt;&gt;"",PaymentSchedule[[#This Row],[TOTAL PAYMENT]]-PaymentSchedule[[#This Row],[INTEREST]],"")</f>
        <v>276.0112352080518</v>
      </c>
      <c r="I169" s="7">
        <f>IF(PaymentSchedule[[#This Row],[PMT NO]]&lt;&gt;"",PaymentSchedule[[#This Row],[BEGINNING BALANCE]]*(InterestRate/PaymentsPerYear),"")</f>
        <v>332.01113658301091</v>
      </c>
      <c r="J169" s="7">
        <f>IF(PaymentSchedule[[#This Row],[PMT NO]]&lt;&gt;"",IF(PaymentSchedule[[#This Row],[SCHEDULED PAYMENT]]+PaymentSchedule[[#This Row],[EXTRA PAYMENT]]&lt;=PaymentSchedule[[#This Row],[BEGINNING BALANCE]],PaymentSchedule[[#This Row],[BEGINNING BALANCE]]-PaymentSchedule[[#This Row],[PRINCIPAL]],0),"")</f>
        <v>88260.29185359487</v>
      </c>
      <c r="K169" s="7">
        <f>IF(PaymentSchedule[[#This Row],[PMT NO]]&lt;&gt;"",SUM(INDEX([INTEREST],1,1):PaymentSchedule[[#This Row],[INTEREST]]),"")</f>
        <v>59463.64762225435</v>
      </c>
    </row>
    <row r="170" spans="2:11">
      <c r="B170" s="4">
        <f>IF(LoanIsGood,IF(ROW()-ROW(PaymentSchedule[[#Headers],[PMT NO]])&gt;ScheduledNumberOfPayments,"",ROW()-ROW(PaymentSchedule[[#Headers],[PMT NO]])),"")</f>
        <v>151</v>
      </c>
      <c r="C170" s="5">
        <f>IF(PaymentSchedule[[#This Row],[PMT NO]]&lt;&gt;"",EOMONTH(LoanStartDate,ROW(PaymentSchedule[[#This Row],[PMT NO]])-ROW(PaymentSchedule[[#Headers],[PMT NO]])-2)+DAY(LoanStartDate),"")</f>
        <v>48639</v>
      </c>
      <c r="D170" s="7">
        <f>IF(PaymentSchedule[[#This Row],[PMT NO]]&lt;&gt;"",IF(ROW()-ROW(PaymentSchedule[[#Headers],[BEGINNING BALANCE]])=1,LoanAmount,INDEX([ENDING BALANCE],ROW()-ROW(PaymentSchedule[[#Headers],[BEGINNING BALANCE]])-1)),"")</f>
        <v>88260.29185359487</v>
      </c>
      <c r="E170" s="7">
        <f>IF(PaymentSchedule[[#This Row],[PMT NO]]&lt;&gt;"",ScheduledPayment,"")</f>
        <v>608.02237179106271</v>
      </c>
      <c r="F17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7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70" s="7">
        <f>IF(PaymentSchedule[[#This Row],[PMT NO]]&lt;&gt;"",PaymentSchedule[[#This Row],[TOTAL PAYMENT]]-PaymentSchedule[[#This Row],[INTEREST]],"")</f>
        <v>277.04627734008199</v>
      </c>
      <c r="I170" s="7">
        <f>IF(PaymentSchedule[[#This Row],[PMT NO]]&lt;&gt;"",PaymentSchedule[[#This Row],[BEGINNING BALANCE]]*(InterestRate/PaymentsPerYear),"")</f>
        <v>330.97609445098072</v>
      </c>
      <c r="J170" s="7">
        <f>IF(PaymentSchedule[[#This Row],[PMT NO]]&lt;&gt;"",IF(PaymentSchedule[[#This Row],[SCHEDULED PAYMENT]]+PaymentSchedule[[#This Row],[EXTRA PAYMENT]]&lt;=PaymentSchedule[[#This Row],[BEGINNING BALANCE]],PaymentSchedule[[#This Row],[BEGINNING BALANCE]]-PaymentSchedule[[#This Row],[PRINCIPAL]],0),"")</f>
        <v>87983.245576254791</v>
      </c>
      <c r="K170" s="7">
        <f>IF(PaymentSchedule[[#This Row],[PMT NO]]&lt;&gt;"",SUM(INDEX([INTEREST],1,1):PaymentSchedule[[#This Row],[INTEREST]]),"")</f>
        <v>59794.623716705333</v>
      </c>
    </row>
    <row r="171" spans="2:11">
      <c r="B171" s="4">
        <f>IF(LoanIsGood,IF(ROW()-ROW(PaymentSchedule[[#Headers],[PMT NO]])&gt;ScheduledNumberOfPayments,"",ROW()-ROW(PaymentSchedule[[#Headers],[PMT NO]])),"")</f>
        <v>152</v>
      </c>
      <c r="C171" s="5">
        <f>IF(PaymentSchedule[[#This Row],[PMT NO]]&lt;&gt;"",EOMONTH(LoanStartDate,ROW(PaymentSchedule[[#This Row],[PMT NO]])-ROW(PaymentSchedule[[#Headers],[PMT NO]])-2)+DAY(LoanStartDate),"")</f>
        <v>48670</v>
      </c>
      <c r="D171" s="7">
        <f>IF(PaymentSchedule[[#This Row],[PMT NO]]&lt;&gt;"",IF(ROW()-ROW(PaymentSchedule[[#Headers],[BEGINNING BALANCE]])=1,LoanAmount,INDEX([ENDING BALANCE],ROW()-ROW(PaymentSchedule[[#Headers],[BEGINNING BALANCE]])-1)),"")</f>
        <v>87983.245576254791</v>
      </c>
      <c r="E171" s="7">
        <f>IF(PaymentSchedule[[#This Row],[PMT NO]]&lt;&gt;"",ScheduledPayment,"")</f>
        <v>608.02237179106271</v>
      </c>
      <c r="F17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7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71" s="7">
        <f>IF(PaymentSchedule[[#This Row],[PMT NO]]&lt;&gt;"",PaymentSchedule[[#This Row],[TOTAL PAYMENT]]-PaymentSchedule[[#This Row],[INTEREST]],"")</f>
        <v>278.08520088010727</v>
      </c>
      <c r="I171" s="7">
        <f>IF(PaymentSchedule[[#This Row],[PMT NO]]&lt;&gt;"",PaymentSchedule[[#This Row],[BEGINNING BALANCE]]*(InterestRate/PaymentsPerYear),"")</f>
        <v>329.93717091095544</v>
      </c>
      <c r="J171" s="7">
        <f>IF(PaymentSchedule[[#This Row],[PMT NO]]&lt;&gt;"",IF(PaymentSchedule[[#This Row],[SCHEDULED PAYMENT]]+PaymentSchedule[[#This Row],[EXTRA PAYMENT]]&lt;=PaymentSchedule[[#This Row],[BEGINNING BALANCE]],PaymentSchedule[[#This Row],[BEGINNING BALANCE]]-PaymentSchedule[[#This Row],[PRINCIPAL]],0),"")</f>
        <v>87705.160375374689</v>
      </c>
      <c r="K171" s="7">
        <f>IF(PaymentSchedule[[#This Row],[PMT NO]]&lt;&gt;"",SUM(INDEX([INTEREST],1,1):PaymentSchedule[[#This Row],[INTEREST]]),"")</f>
        <v>60124.560887616288</v>
      </c>
    </row>
    <row r="172" spans="2:11">
      <c r="B172" s="4">
        <f>IF(LoanIsGood,IF(ROW()-ROW(PaymentSchedule[[#Headers],[PMT NO]])&gt;ScheduledNumberOfPayments,"",ROW()-ROW(PaymentSchedule[[#Headers],[PMT NO]])),"")</f>
        <v>153</v>
      </c>
      <c r="C172" s="5">
        <f>IF(PaymentSchedule[[#This Row],[PMT NO]]&lt;&gt;"",EOMONTH(LoanStartDate,ROW(PaymentSchedule[[#This Row],[PMT NO]])-ROW(PaymentSchedule[[#Headers],[PMT NO]])-2)+DAY(LoanStartDate),"")</f>
        <v>48700</v>
      </c>
      <c r="D172" s="7">
        <f>IF(PaymentSchedule[[#This Row],[PMT NO]]&lt;&gt;"",IF(ROW()-ROW(PaymentSchedule[[#Headers],[BEGINNING BALANCE]])=1,LoanAmount,INDEX([ENDING BALANCE],ROW()-ROW(PaymentSchedule[[#Headers],[BEGINNING BALANCE]])-1)),"")</f>
        <v>87705.160375374689</v>
      </c>
      <c r="E172" s="7">
        <f>IF(PaymentSchedule[[#This Row],[PMT NO]]&lt;&gt;"",ScheduledPayment,"")</f>
        <v>608.02237179106271</v>
      </c>
      <c r="F17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7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72" s="7">
        <f>IF(PaymentSchedule[[#This Row],[PMT NO]]&lt;&gt;"",PaymentSchedule[[#This Row],[TOTAL PAYMENT]]-PaymentSchedule[[#This Row],[INTEREST]],"")</f>
        <v>279.12802038340766</v>
      </c>
      <c r="I172" s="7">
        <f>IF(PaymentSchedule[[#This Row],[PMT NO]]&lt;&gt;"",PaymentSchedule[[#This Row],[BEGINNING BALANCE]]*(InterestRate/PaymentsPerYear),"")</f>
        <v>328.89435140765505</v>
      </c>
      <c r="J172" s="7">
        <f>IF(PaymentSchedule[[#This Row],[PMT NO]]&lt;&gt;"",IF(PaymentSchedule[[#This Row],[SCHEDULED PAYMENT]]+PaymentSchedule[[#This Row],[EXTRA PAYMENT]]&lt;=PaymentSchedule[[#This Row],[BEGINNING BALANCE]],PaymentSchedule[[#This Row],[BEGINNING BALANCE]]-PaymentSchedule[[#This Row],[PRINCIPAL]],0),"")</f>
        <v>87426.032354991286</v>
      </c>
      <c r="K172" s="7">
        <f>IF(PaymentSchedule[[#This Row],[PMT NO]]&lt;&gt;"",SUM(INDEX([INTEREST],1,1):PaymentSchedule[[#This Row],[INTEREST]]),"")</f>
        <v>60453.455239023941</v>
      </c>
    </row>
    <row r="173" spans="2:11">
      <c r="B173" s="4">
        <f>IF(LoanIsGood,IF(ROW()-ROW(PaymentSchedule[[#Headers],[PMT NO]])&gt;ScheduledNumberOfPayments,"",ROW()-ROW(PaymentSchedule[[#Headers],[PMT NO]])),"")</f>
        <v>154</v>
      </c>
      <c r="C173" s="5">
        <f>IF(PaymentSchedule[[#This Row],[PMT NO]]&lt;&gt;"",EOMONTH(LoanStartDate,ROW(PaymentSchedule[[#This Row],[PMT NO]])-ROW(PaymentSchedule[[#Headers],[PMT NO]])-2)+DAY(LoanStartDate),"")</f>
        <v>48731</v>
      </c>
      <c r="D173" s="7">
        <f>IF(PaymentSchedule[[#This Row],[PMT NO]]&lt;&gt;"",IF(ROW()-ROW(PaymentSchedule[[#Headers],[BEGINNING BALANCE]])=1,LoanAmount,INDEX([ENDING BALANCE],ROW()-ROW(PaymentSchedule[[#Headers],[BEGINNING BALANCE]])-1)),"")</f>
        <v>87426.032354991286</v>
      </c>
      <c r="E173" s="7">
        <f>IF(PaymentSchedule[[#This Row],[PMT NO]]&lt;&gt;"",ScheduledPayment,"")</f>
        <v>608.02237179106271</v>
      </c>
      <c r="F17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7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73" s="7">
        <f>IF(PaymentSchedule[[#This Row],[PMT NO]]&lt;&gt;"",PaymentSchedule[[#This Row],[TOTAL PAYMENT]]-PaymentSchedule[[#This Row],[INTEREST]],"")</f>
        <v>280.17475045984537</v>
      </c>
      <c r="I173" s="7">
        <f>IF(PaymentSchedule[[#This Row],[PMT NO]]&lt;&gt;"",PaymentSchedule[[#This Row],[BEGINNING BALANCE]]*(InterestRate/PaymentsPerYear),"")</f>
        <v>327.84762133121734</v>
      </c>
      <c r="J173" s="7">
        <f>IF(PaymentSchedule[[#This Row],[PMT NO]]&lt;&gt;"",IF(PaymentSchedule[[#This Row],[SCHEDULED PAYMENT]]+PaymentSchedule[[#This Row],[EXTRA PAYMENT]]&lt;=PaymentSchedule[[#This Row],[BEGINNING BALANCE]],PaymentSchedule[[#This Row],[BEGINNING BALANCE]]-PaymentSchedule[[#This Row],[PRINCIPAL]],0),"")</f>
        <v>87145.85760453144</v>
      </c>
      <c r="K173" s="7">
        <f>IF(PaymentSchedule[[#This Row],[PMT NO]]&lt;&gt;"",SUM(INDEX([INTEREST],1,1):PaymentSchedule[[#This Row],[INTEREST]]),"")</f>
        <v>60781.302860355157</v>
      </c>
    </row>
    <row r="174" spans="2:11">
      <c r="B174" s="4">
        <f>IF(LoanIsGood,IF(ROW()-ROW(PaymentSchedule[[#Headers],[PMT NO]])&gt;ScheduledNumberOfPayments,"",ROW()-ROW(PaymentSchedule[[#Headers],[PMT NO]])),"")</f>
        <v>155</v>
      </c>
      <c r="C174" s="5">
        <f>IF(PaymentSchedule[[#This Row],[PMT NO]]&lt;&gt;"",EOMONTH(LoanStartDate,ROW(PaymentSchedule[[#This Row],[PMT NO]])-ROW(PaymentSchedule[[#Headers],[PMT NO]])-2)+DAY(LoanStartDate),"")</f>
        <v>48761</v>
      </c>
      <c r="D174" s="7">
        <f>IF(PaymentSchedule[[#This Row],[PMT NO]]&lt;&gt;"",IF(ROW()-ROW(PaymentSchedule[[#Headers],[BEGINNING BALANCE]])=1,LoanAmount,INDEX([ENDING BALANCE],ROW()-ROW(PaymentSchedule[[#Headers],[BEGINNING BALANCE]])-1)),"")</f>
        <v>87145.85760453144</v>
      </c>
      <c r="E174" s="7">
        <f>IF(PaymentSchedule[[#This Row],[PMT NO]]&lt;&gt;"",ScheduledPayment,"")</f>
        <v>608.02237179106271</v>
      </c>
      <c r="F17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7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74" s="7">
        <f>IF(PaymentSchedule[[#This Row],[PMT NO]]&lt;&gt;"",PaymentSchedule[[#This Row],[TOTAL PAYMENT]]-PaymentSchedule[[#This Row],[INTEREST]],"")</f>
        <v>281.22540577406983</v>
      </c>
      <c r="I174" s="7">
        <f>IF(PaymentSchedule[[#This Row],[PMT NO]]&lt;&gt;"",PaymentSchedule[[#This Row],[BEGINNING BALANCE]]*(InterestRate/PaymentsPerYear),"")</f>
        <v>326.79696601699288</v>
      </c>
      <c r="J174" s="7">
        <f>IF(PaymentSchedule[[#This Row],[PMT NO]]&lt;&gt;"",IF(PaymentSchedule[[#This Row],[SCHEDULED PAYMENT]]+PaymentSchedule[[#This Row],[EXTRA PAYMENT]]&lt;=PaymentSchedule[[#This Row],[BEGINNING BALANCE]],PaymentSchedule[[#This Row],[BEGINNING BALANCE]]-PaymentSchedule[[#This Row],[PRINCIPAL]],0),"")</f>
        <v>86864.632198757376</v>
      </c>
      <c r="K174" s="7">
        <f>IF(PaymentSchedule[[#This Row],[PMT NO]]&lt;&gt;"",SUM(INDEX([INTEREST],1,1):PaymentSchedule[[#This Row],[INTEREST]]),"")</f>
        <v>61108.099826372149</v>
      </c>
    </row>
    <row r="175" spans="2:11">
      <c r="B175" s="4">
        <f>IF(LoanIsGood,IF(ROW()-ROW(PaymentSchedule[[#Headers],[PMT NO]])&gt;ScheduledNumberOfPayments,"",ROW()-ROW(PaymentSchedule[[#Headers],[PMT NO]])),"")</f>
        <v>156</v>
      </c>
      <c r="C175" s="5">
        <f>IF(PaymentSchedule[[#This Row],[PMT NO]]&lt;&gt;"",EOMONTH(LoanStartDate,ROW(PaymentSchedule[[#This Row],[PMT NO]])-ROW(PaymentSchedule[[#Headers],[PMT NO]])-2)+DAY(LoanStartDate),"")</f>
        <v>48792</v>
      </c>
      <c r="D175" s="7">
        <f>IF(PaymentSchedule[[#This Row],[PMT NO]]&lt;&gt;"",IF(ROW()-ROW(PaymentSchedule[[#Headers],[BEGINNING BALANCE]])=1,LoanAmount,INDEX([ENDING BALANCE],ROW()-ROW(PaymentSchedule[[#Headers],[BEGINNING BALANCE]])-1)),"")</f>
        <v>86864.632198757376</v>
      </c>
      <c r="E175" s="7">
        <f>IF(PaymentSchedule[[#This Row],[PMT NO]]&lt;&gt;"",ScheduledPayment,"")</f>
        <v>608.02237179106271</v>
      </c>
      <c r="F17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7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75" s="7">
        <f>IF(PaymentSchedule[[#This Row],[PMT NO]]&lt;&gt;"",PaymentSchedule[[#This Row],[TOTAL PAYMENT]]-PaymentSchedule[[#This Row],[INTEREST]],"")</f>
        <v>282.28000104572254</v>
      </c>
      <c r="I175" s="7">
        <f>IF(PaymentSchedule[[#This Row],[PMT NO]]&lt;&gt;"",PaymentSchedule[[#This Row],[BEGINNING BALANCE]]*(InterestRate/PaymentsPerYear),"")</f>
        <v>325.74237074534017</v>
      </c>
      <c r="J175" s="7">
        <f>IF(PaymentSchedule[[#This Row],[PMT NO]]&lt;&gt;"",IF(PaymentSchedule[[#This Row],[SCHEDULED PAYMENT]]+PaymentSchedule[[#This Row],[EXTRA PAYMENT]]&lt;=PaymentSchedule[[#This Row],[BEGINNING BALANCE]],PaymentSchedule[[#This Row],[BEGINNING BALANCE]]-PaymentSchedule[[#This Row],[PRINCIPAL]],0),"")</f>
        <v>86582.352197711647</v>
      </c>
      <c r="K175" s="7">
        <f>IF(PaymentSchedule[[#This Row],[PMT NO]]&lt;&gt;"",SUM(INDEX([INTEREST],1,1):PaymentSchedule[[#This Row],[INTEREST]]),"")</f>
        <v>61433.84219711749</v>
      </c>
    </row>
    <row r="176" spans="2:11">
      <c r="B176" s="4">
        <f>IF(LoanIsGood,IF(ROW()-ROW(PaymentSchedule[[#Headers],[PMT NO]])&gt;ScheduledNumberOfPayments,"",ROW()-ROW(PaymentSchedule[[#Headers],[PMT NO]])),"")</f>
        <v>157</v>
      </c>
      <c r="C176" s="5">
        <f>IF(PaymentSchedule[[#This Row],[PMT NO]]&lt;&gt;"",EOMONTH(LoanStartDate,ROW(PaymentSchedule[[#This Row],[PMT NO]])-ROW(PaymentSchedule[[#Headers],[PMT NO]])-2)+DAY(LoanStartDate),"")</f>
        <v>48823</v>
      </c>
      <c r="D176" s="7">
        <f>IF(PaymentSchedule[[#This Row],[PMT NO]]&lt;&gt;"",IF(ROW()-ROW(PaymentSchedule[[#Headers],[BEGINNING BALANCE]])=1,LoanAmount,INDEX([ENDING BALANCE],ROW()-ROW(PaymentSchedule[[#Headers],[BEGINNING BALANCE]])-1)),"")</f>
        <v>86582.352197711647</v>
      </c>
      <c r="E176" s="7">
        <f>IF(PaymentSchedule[[#This Row],[PMT NO]]&lt;&gt;"",ScheduledPayment,"")</f>
        <v>608.02237179106271</v>
      </c>
      <c r="F17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7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76" s="7">
        <f>IF(PaymentSchedule[[#This Row],[PMT NO]]&lt;&gt;"",PaymentSchedule[[#This Row],[TOTAL PAYMENT]]-PaymentSchedule[[#This Row],[INTEREST]],"")</f>
        <v>283.33855104964402</v>
      </c>
      <c r="I176" s="7">
        <f>IF(PaymentSchedule[[#This Row],[PMT NO]]&lt;&gt;"",PaymentSchedule[[#This Row],[BEGINNING BALANCE]]*(InterestRate/PaymentsPerYear),"")</f>
        <v>324.68382074141869</v>
      </c>
      <c r="J176" s="7">
        <f>IF(PaymentSchedule[[#This Row],[PMT NO]]&lt;&gt;"",IF(PaymentSchedule[[#This Row],[SCHEDULED PAYMENT]]+PaymentSchedule[[#This Row],[EXTRA PAYMENT]]&lt;=PaymentSchedule[[#This Row],[BEGINNING BALANCE]],PaymentSchedule[[#This Row],[BEGINNING BALANCE]]-PaymentSchedule[[#This Row],[PRINCIPAL]],0),"")</f>
        <v>86299.013646662002</v>
      </c>
      <c r="K176" s="7">
        <f>IF(PaymentSchedule[[#This Row],[PMT NO]]&lt;&gt;"",SUM(INDEX([INTEREST],1,1):PaymentSchedule[[#This Row],[INTEREST]]),"")</f>
        <v>61758.526017858909</v>
      </c>
    </row>
    <row r="177" spans="2:11">
      <c r="B177" s="4">
        <f>IF(LoanIsGood,IF(ROW()-ROW(PaymentSchedule[[#Headers],[PMT NO]])&gt;ScheduledNumberOfPayments,"",ROW()-ROW(PaymentSchedule[[#Headers],[PMT NO]])),"")</f>
        <v>158</v>
      </c>
      <c r="C177" s="5">
        <f>IF(PaymentSchedule[[#This Row],[PMT NO]]&lt;&gt;"",EOMONTH(LoanStartDate,ROW(PaymentSchedule[[#This Row],[PMT NO]])-ROW(PaymentSchedule[[#Headers],[PMT NO]])-2)+DAY(LoanStartDate),"")</f>
        <v>48853</v>
      </c>
      <c r="D177" s="7">
        <f>IF(PaymentSchedule[[#This Row],[PMT NO]]&lt;&gt;"",IF(ROW()-ROW(PaymentSchedule[[#Headers],[BEGINNING BALANCE]])=1,LoanAmount,INDEX([ENDING BALANCE],ROW()-ROW(PaymentSchedule[[#Headers],[BEGINNING BALANCE]])-1)),"")</f>
        <v>86299.013646662002</v>
      </c>
      <c r="E177" s="7">
        <f>IF(PaymentSchedule[[#This Row],[PMT NO]]&lt;&gt;"",ScheduledPayment,"")</f>
        <v>608.02237179106271</v>
      </c>
      <c r="F17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7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77" s="7">
        <f>IF(PaymentSchedule[[#This Row],[PMT NO]]&lt;&gt;"",PaymentSchedule[[#This Row],[TOTAL PAYMENT]]-PaymentSchedule[[#This Row],[INTEREST]],"")</f>
        <v>284.40107061608023</v>
      </c>
      <c r="I177" s="7">
        <f>IF(PaymentSchedule[[#This Row],[PMT NO]]&lt;&gt;"",PaymentSchedule[[#This Row],[BEGINNING BALANCE]]*(InterestRate/PaymentsPerYear),"")</f>
        <v>323.62130117498248</v>
      </c>
      <c r="J177" s="7">
        <f>IF(PaymentSchedule[[#This Row],[PMT NO]]&lt;&gt;"",IF(PaymentSchedule[[#This Row],[SCHEDULED PAYMENT]]+PaymentSchedule[[#This Row],[EXTRA PAYMENT]]&lt;=PaymentSchedule[[#This Row],[BEGINNING BALANCE]],PaymentSchedule[[#This Row],[BEGINNING BALANCE]]-PaymentSchedule[[#This Row],[PRINCIPAL]],0),"")</f>
        <v>86014.612576045925</v>
      </c>
      <c r="K177" s="7">
        <f>IF(PaymentSchedule[[#This Row],[PMT NO]]&lt;&gt;"",SUM(INDEX([INTEREST],1,1):PaymentSchedule[[#This Row],[INTEREST]]),"")</f>
        <v>62082.147319033895</v>
      </c>
    </row>
    <row r="178" spans="2:11">
      <c r="B178" s="4">
        <f>IF(LoanIsGood,IF(ROW()-ROW(PaymentSchedule[[#Headers],[PMT NO]])&gt;ScheduledNumberOfPayments,"",ROW()-ROW(PaymentSchedule[[#Headers],[PMT NO]])),"")</f>
        <v>159</v>
      </c>
      <c r="C178" s="5">
        <f>IF(PaymentSchedule[[#This Row],[PMT NO]]&lt;&gt;"",EOMONTH(LoanStartDate,ROW(PaymentSchedule[[#This Row],[PMT NO]])-ROW(PaymentSchedule[[#Headers],[PMT NO]])-2)+DAY(LoanStartDate),"")</f>
        <v>48884</v>
      </c>
      <c r="D178" s="7">
        <f>IF(PaymentSchedule[[#This Row],[PMT NO]]&lt;&gt;"",IF(ROW()-ROW(PaymentSchedule[[#Headers],[BEGINNING BALANCE]])=1,LoanAmount,INDEX([ENDING BALANCE],ROW()-ROW(PaymentSchedule[[#Headers],[BEGINNING BALANCE]])-1)),"")</f>
        <v>86014.612576045925</v>
      </c>
      <c r="E178" s="7">
        <f>IF(PaymentSchedule[[#This Row],[PMT NO]]&lt;&gt;"",ScheduledPayment,"")</f>
        <v>608.02237179106271</v>
      </c>
      <c r="F17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7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78" s="7">
        <f>IF(PaymentSchedule[[#This Row],[PMT NO]]&lt;&gt;"",PaymentSchedule[[#This Row],[TOTAL PAYMENT]]-PaymentSchedule[[#This Row],[INTEREST]],"")</f>
        <v>285.46757463089051</v>
      </c>
      <c r="I178" s="7">
        <f>IF(PaymentSchedule[[#This Row],[PMT NO]]&lt;&gt;"",PaymentSchedule[[#This Row],[BEGINNING BALANCE]]*(InterestRate/PaymentsPerYear),"")</f>
        <v>322.5547971601722</v>
      </c>
      <c r="J178" s="7">
        <f>IF(PaymentSchedule[[#This Row],[PMT NO]]&lt;&gt;"",IF(PaymentSchedule[[#This Row],[SCHEDULED PAYMENT]]+PaymentSchedule[[#This Row],[EXTRA PAYMENT]]&lt;=PaymentSchedule[[#This Row],[BEGINNING BALANCE]],PaymentSchedule[[#This Row],[BEGINNING BALANCE]]-PaymentSchedule[[#This Row],[PRINCIPAL]],0),"")</f>
        <v>85729.145001415032</v>
      </c>
      <c r="K178" s="7">
        <f>IF(PaymentSchedule[[#This Row],[PMT NO]]&lt;&gt;"",SUM(INDEX([INTEREST],1,1):PaymentSchedule[[#This Row],[INTEREST]]),"")</f>
        <v>62404.702116194065</v>
      </c>
    </row>
    <row r="179" spans="2:11">
      <c r="B179" s="4">
        <f>IF(LoanIsGood,IF(ROW()-ROW(PaymentSchedule[[#Headers],[PMT NO]])&gt;ScheduledNumberOfPayments,"",ROW()-ROW(PaymentSchedule[[#Headers],[PMT NO]])),"")</f>
        <v>160</v>
      </c>
      <c r="C179" s="5">
        <f>IF(PaymentSchedule[[#This Row],[PMT NO]]&lt;&gt;"",EOMONTH(LoanStartDate,ROW(PaymentSchedule[[#This Row],[PMT NO]])-ROW(PaymentSchedule[[#Headers],[PMT NO]])-2)+DAY(LoanStartDate),"")</f>
        <v>48914</v>
      </c>
      <c r="D179" s="7">
        <f>IF(PaymentSchedule[[#This Row],[PMT NO]]&lt;&gt;"",IF(ROW()-ROW(PaymentSchedule[[#Headers],[BEGINNING BALANCE]])=1,LoanAmount,INDEX([ENDING BALANCE],ROW()-ROW(PaymentSchedule[[#Headers],[BEGINNING BALANCE]])-1)),"")</f>
        <v>85729.145001415032</v>
      </c>
      <c r="E179" s="7">
        <f>IF(PaymentSchedule[[#This Row],[PMT NO]]&lt;&gt;"",ScheduledPayment,"")</f>
        <v>608.02237179106271</v>
      </c>
      <c r="F17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7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79" s="7">
        <f>IF(PaymentSchedule[[#This Row],[PMT NO]]&lt;&gt;"",PaymentSchedule[[#This Row],[TOTAL PAYMENT]]-PaymentSchedule[[#This Row],[INTEREST]],"")</f>
        <v>286.53807803575637</v>
      </c>
      <c r="I179" s="7">
        <f>IF(PaymentSchedule[[#This Row],[PMT NO]]&lt;&gt;"",PaymentSchedule[[#This Row],[BEGINNING BALANCE]]*(InterestRate/PaymentsPerYear),"")</f>
        <v>321.48429375530634</v>
      </c>
      <c r="J179" s="7">
        <f>IF(PaymentSchedule[[#This Row],[PMT NO]]&lt;&gt;"",IF(PaymentSchedule[[#This Row],[SCHEDULED PAYMENT]]+PaymentSchedule[[#This Row],[EXTRA PAYMENT]]&lt;=PaymentSchedule[[#This Row],[BEGINNING BALANCE]],PaymentSchedule[[#This Row],[BEGINNING BALANCE]]-PaymentSchedule[[#This Row],[PRINCIPAL]],0),"")</f>
        <v>85442.60692337928</v>
      </c>
      <c r="K179" s="7">
        <f>IF(PaymentSchedule[[#This Row],[PMT NO]]&lt;&gt;"",SUM(INDEX([INTEREST],1,1):PaymentSchedule[[#This Row],[INTEREST]]),"")</f>
        <v>62726.186409949369</v>
      </c>
    </row>
    <row r="180" spans="2:11">
      <c r="B180" s="4">
        <f>IF(LoanIsGood,IF(ROW()-ROW(PaymentSchedule[[#Headers],[PMT NO]])&gt;ScheduledNumberOfPayments,"",ROW()-ROW(PaymentSchedule[[#Headers],[PMT NO]])),"")</f>
        <v>161</v>
      </c>
      <c r="C180" s="5">
        <f>IF(PaymentSchedule[[#This Row],[PMT NO]]&lt;&gt;"",EOMONTH(LoanStartDate,ROW(PaymentSchedule[[#This Row],[PMT NO]])-ROW(PaymentSchedule[[#Headers],[PMT NO]])-2)+DAY(LoanStartDate),"")</f>
        <v>48945</v>
      </c>
      <c r="D180" s="7">
        <f>IF(PaymentSchedule[[#This Row],[PMT NO]]&lt;&gt;"",IF(ROW()-ROW(PaymentSchedule[[#Headers],[BEGINNING BALANCE]])=1,LoanAmount,INDEX([ENDING BALANCE],ROW()-ROW(PaymentSchedule[[#Headers],[BEGINNING BALANCE]])-1)),"")</f>
        <v>85442.60692337928</v>
      </c>
      <c r="E180" s="7">
        <f>IF(PaymentSchedule[[#This Row],[PMT NO]]&lt;&gt;"",ScheduledPayment,"")</f>
        <v>608.02237179106271</v>
      </c>
      <c r="F18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8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80" s="7">
        <f>IF(PaymentSchedule[[#This Row],[PMT NO]]&lt;&gt;"",PaymentSchedule[[#This Row],[TOTAL PAYMENT]]-PaymentSchedule[[#This Row],[INTEREST]],"")</f>
        <v>287.6125958283904</v>
      </c>
      <c r="I180" s="7">
        <f>IF(PaymentSchedule[[#This Row],[PMT NO]]&lt;&gt;"",PaymentSchedule[[#This Row],[BEGINNING BALANCE]]*(InterestRate/PaymentsPerYear),"")</f>
        <v>320.40977596267231</v>
      </c>
      <c r="J180" s="7">
        <f>IF(PaymentSchedule[[#This Row],[PMT NO]]&lt;&gt;"",IF(PaymentSchedule[[#This Row],[SCHEDULED PAYMENT]]+PaymentSchedule[[#This Row],[EXTRA PAYMENT]]&lt;=PaymentSchedule[[#This Row],[BEGINNING BALANCE]],PaymentSchedule[[#This Row],[BEGINNING BALANCE]]-PaymentSchedule[[#This Row],[PRINCIPAL]],0),"")</f>
        <v>85154.994327550885</v>
      </c>
      <c r="K180" s="7">
        <f>IF(PaymentSchedule[[#This Row],[PMT NO]]&lt;&gt;"",SUM(INDEX([INTEREST],1,1):PaymentSchedule[[#This Row],[INTEREST]]),"")</f>
        <v>63046.596185912043</v>
      </c>
    </row>
    <row r="181" spans="2:11">
      <c r="B181" s="4">
        <f>IF(LoanIsGood,IF(ROW()-ROW(PaymentSchedule[[#Headers],[PMT NO]])&gt;ScheduledNumberOfPayments,"",ROW()-ROW(PaymentSchedule[[#Headers],[PMT NO]])),"")</f>
        <v>162</v>
      </c>
      <c r="C181" s="5">
        <f>IF(PaymentSchedule[[#This Row],[PMT NO]]&lt;&gt;"",EOMONTH(LoanStartDate,ROW(PaymentSchedule[[#This Row],[PMT NO]])-ROW(PaymentSchedule[[#Headers],[PMT NO]])-2)+DAY(LoanStartDate),"")</f>
        <v>48976</v>
      </c>
      <c r="D181" s="7">
        <f>IF(PaymentSchedule[[#This Row],[PMT NO]]&lt;&gt;"",IF(ROW()-ROW(PaymentSchedule[[#Headers],[BEGINNING BALANCE]])=1,LoanAmount,INDEX([ENDING BALANCE],ROW()-ROW(PaymentSchedule[[#Headers],[BEGINNING BALANCE]])-1)),"")</f>
        <v>85154.994327550885</v>
      </c>
      <c r="E181" s="7">
        <f>IF(PaymentSchedule[[#This Row],[PMT NO]]&lt;&gt;"",ScheduledPayment,"")</f>
        <v>608.02237179106271</v>
      </c>
      <c r="F18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8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81" s="7">
        <f>IF(PaymentSchedule[[#This Row],[PMT NO]]&lt;&gt;"",PaymentSchedule[[#This Row],[TOTAL PAYMENT]]-PaymentSchedule[[#This Row],[INTEREST]],"")</f>
        <v>288.6911430627469</v>
      </c>
      <c r="I181" s="7">
        <f>IF(PaymentSchedule[[#This Row],[PMT NO]]&lt;&gt;"",PaymentSchedule[[#This Row],[BEGINNING BALANCE]]*(InterestRate/PaymentsPerYear),"")</f>
        <v>319.33122872831581</v>
      </c>
      <c r="J181" s="7">
        <f>IF(PaymentSchedule[[#This Row],[PMT NO]]&lt;&gt;"",IF(PaymentSchedule[[#This Row],[SCHEDULED PAYMENT]]+PaymentSchedule[[#This Row],[EXTRA PAYMENT]]&lt;=PaymentSchedule[[#This Row],[BEGINNING BALANCE]],PaymentSchedule[[#This Row],[BEGINNING BALANCE]]-PaymentSchedule[[#This Row],[PRINCIPAL]],0),"")</f>
        <v>84866.303184488133</v>
      </c>
      <c r="K181" s="7">
        <f>IF(PaymentSchedule[[#This Row],[PMT NO]]&lt;&gt;"",SUM(INDEX([INTEREST],1,1):PaymentSchedule[[#This Row],[INTEREST]]),"")</f>
        <v>63365.927414640362</v>
      </c>
    </row>
    <row r="182" spans="2:11">
      <c r="B182" s="4">
        <f>IF(LoanIsGood,IF(ROW()-ROW(PaymentSchedule[[#Headers],[PMT NO]])&gt;ScheduledNumberOfPayments,"",ROW()-ROW(PaymentSchedule[[#Headers],[PMT NO]])),"")</f>
        <v>163</v>
      </c>
      <c r="C182" s="5">
        <f>IF(PaymentSchedule[[#This Row],[PMT NO]]&lt;&gt;"",EOMONTH(LoanStartDate,ROW(PaymentSchedule[[#This Row],[PMT NO]])-ROW(PaymentSchedule[[#Headers],[PMT NO]])-2)+DAY(LoanStartDate),"")</f>
        <v>49004</v>
      </c>
      <c r="D182" s="7">
        <f>IF(PaymentSchedule[[#This Row],[PMT NO]]&lt;&gt;"",IF(ROW()-ROW(PaymentSchedule[[#Headers],[BEGINNING BALANCE]])=1,LoanAmount,INDEX([ENDING BALANCE],ROW()-ROW(PaymentSchedule[[#Headers],[BEGINNING BALANCE]])-1)),"")</f>
        <v>84866.303184488133</v>
      </c>
      <c r="E182" s="7">
        <f>IF(PaymentSchedule[[#This Row],[PMT NO]]&lt;&gt;"",ScheduledPayment,"")</f>
        <v>608.02237179106271</v>
      </c>
      <c r="F18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8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82" s="7">
        <f>IF(PaymentSchedule[[#This Row],[PMT NO]]&lt;&gt;"",PaymentSchedule[[#This Row],[TOTAL PAYMENT]]-PaymentSchedule[[#This Row],[INTEREST]],"")</f>
        <v>289.7737348492322</v>
      </c>
      <c r="I182" s="7">
        <f>IF(PaymentSchedule[[#This Row],[PMT NO]]&lt;&gt;"",PaymentSchedule[[#This Row],[BEGINNING BALANCE]]*(InterestRate/PaymentsPerYear),"")</f>
        <v>318.24863694183051</v>
      </c>
      <c r="J182" s="7">
        <f>IF(PaymentSchedule[[#This Row],[PMT NO]]&lt;&gt;"",IF(PaymentSchedule[[#This Row],[SCHEDULED PAYMENT]]+PaymentSchedule[[#This Row],[EXTRA PAYMENT]]&lt;=PaymentSchedule[[#This Row],[BEGINNING BALANCE]],PaymentSchedule[[#This Row],[BEGINNING BALANCE]]-PaymentSchedule[[#This Row],[PRINCIPAL]],0),"")</f>
        <v>84576.529449638896</v>
      </c>
      <c r="K182" s="7">
        <f>IF(PaymentSchedule[[#This Row],[PMT NO]]&lt;&gt;"",SUM(INDEX([INTEREST],1,1):PaymentSchedule[[#This Row],[INTEREST]]),"")</f>
        <v>63684.176051582195</v>
      </c>
    </row>
    <row r="183" spans="2:11">
      <c r="B183" s="4">
        <f>IF(LoanIsGood,IF(ROW()-ROW(PaymentSchedule[[#Headers],[PMT NO]])&gt;ScheduledNumberOfPayments,"",ROW()-ROW(PaymentSchedule[[#Headers],[PMT NO]])),"")</f>
        <v>164</v>
      </c>
      <c r="C183" s="5">
        <f>IF(PaymentSchedule[[#This Row],[PMT NO]]&lt;&gt;"",EOMONTH(LoanStartDate,ROW(PaymentSchedule[[#This Row],[PMT NO]])-ROW(PaymentSchedule[[#Headers],[PMT NO]])-2)+DAY(LoanStartDate),"")</f>
        <v>49035</v>
      </c>
      <c r="D183" s="7">
        <f>IF(PaymentSchedule[[#This Row],[PMT NO]]&lt;&gt;"",IF(ROW()-ROW(PaymentSchedule[[#Headers],[BEGINNING BALANCE]])=1,LoanAmount,INDEX([ENDING BALANCE],ROW()-ROW(PaymentSchedule[[#Headers],[BEGINNING BALANCE]])-1)),"")</f>
        <v>84576.529449638896</v>
      </c>
      <c r="E183" s="7">
        <f>IF(PaymentSchedule[[#This Row],[PMT NO]]&lt;&gt;"",ScheduledPayment,"")</f>
        <v>608.02237179106271</v>
      </c>
      <c r="F18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8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83" s="7">
        <f>IF(PaymentSchedule[[#This Row],[PMT NO]]&lt;&gt;"",PaymentSchedule[[#This Row],[TOTAL PAYMENT]]-PaymentSchedule[[#This Row],[INTEREST]],"")</f>
        <v>290.86038635491684</v>
      </c>
      <c r="I183" s="7">
        <f>IF(PaymentSchedule[[#This Row],[PMT NO]]&lt;&gt;"",PaymentSchedule[[#This Row],[BEGINNING BALANCE]]*(InterestRate/PaymentsPerYear),"")</f>
        <v>317.16198543614587</v>
      </c>
      <c r="J183" s="7">
        <f>IF(PaymentSchedule[[#This Row],[PMT NO]]&lt;&gt;"",IF(PaymentSchedule[[#This Row],[SCHEDULED PAYMENT]]+PaymentSchedule[[#This Row],[EXTRA PAYMENT]]&lt;=PaymentSchedule[[#This Row],[BEGINNING BALANCE]],PaymentSchedule[[#This Row],[BEGINNING BALANCE]]-PaymentSchedule[[#This Row],[PRINCIPAL]],0),"")</f>
        <v>84285.669063283975</v>
      </c>
      <c r="K183" s="7">
        <f>IF(PaymentSchedule[[#This Row],[PMT NO]]&lt;&gt;"",SUM(INDEX([INTEREST],1,1):PaymentSchedule[[#This Row],[INTEREST]]),"")</f>
        <v>64001.338037018344</v>
      </c>
    </row>
    <row r="184" spans="2:11">
      <c r="B184" s="4">
        <f>IF(LoanIsGood,IF(ROW()-ROW(PaymentSchedule[[#Headers],[PMT NO]])&gt;ScheduledNumberOfPayments,"",ROW()-ROW(PaymentSchedule[[#Headers],[PMT NO]])),"")</f>
        <v>165</v>
      </c>
      <c r="C184" s="5">
        <f>IF(PaymentSchedule[[#This Row],[PMT NO]]&lt;&gt;"",EOMONTH(LoanStartDate,ROW(PaymentSchedule[[#This Row],[PMT NO]])-ROW(PaymentSchedule[[#Headers],[PMT NO]])-2)+DAY(LoanStartDate),"")</f>
        <v>49065</v>
      </c>
      <c r="D184" s="7">
        <f>IF(PaymentSchedule[[#This Row],[PMT NO]]&lt;&gt;"",IF(ROW()-ROW(PaymentSchedule[[#Headers],[BEGINNING BALANCE]])=1,LoanAmount,INDEX([ENDING BALANCE],ROW()-ROW(PaymentSchedule[[#Headers],[BEGINNING BALANCE]])-1)),"")</f>
        <v>84285.669063283975</v>
      </c>
      <c r="E184" s="7">
        <f>IF(PaymentSchedule[[#This Row],[PMT NO]]&lt;&gt;"",ScheduledPayment,"")</f>
        <v>608.02237179106271</v>
      </c>
      <c r="F18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8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84" s="7">
        <f>IF(PaymentSchedule[[#This Row],[PMT NO]]&lt;&gt;"",PaymentSchedule[[#This Row],[TOTAL PAYMENT]]-PaymentSchedule[[#This Row],[INTEREST]],"")</f>
        <v>291.95111280374783</v>
      </c>
      <c r="I184" s="7">
        <f>IF(PaymentSchedule[[#This Row],[PMT NO]]&lt;&gt;"",PaymentSchedule[[#This Row],[BEGINNING BALANCE]]*(InterestRate/PaymentsPerYear),"")</f>
        <v>316.07125898731488</v>
      </c>
      <c r="J184" s="7">
        <f>IF(PaymentSchedule[[#This Row],[PMT NO]]&lt;&gt;"",IF(PaymentSchedule[[#This Row],[SCHEDULED PAYMENT]]+PaymentSchedule[[#This Row],[EXTRA PAYMENT]]&lt;=PaymentSchedule[[#This Row],[BEGINNING BALANCE]],PaymentSchedule[[#This Row],[BEGINNING BALANCE]]-PaymentSchedule[[#This Row],[PRINCIPAL]],0),"")</f>
        <v>83993.717950480233</v>
      </c>
      <c r="K184" s="7">
        <f>IF(PaymentSchedule[[#This Row],[PMT NO]]&lt;&gt;"",SUM(INDEX([INTEREST],1,1):PaymentSchedule[[#This Row],[INTEREST]]),"")</f>
        <v>64317.409296005659</v>
      </c>
    </row>
    <row r="185" spans="2:11">
      <c r="B185" s="4">
        <f>IF(LoanIsGood,IF(ROW()-ROW(PaymentSchedule[[#Headers],[PMT NO]])&gt;ScheduledNumberOfPayments,"",ROW()-ROW(PaymentSchedule[[#Headers],[PMT NO]])),"")</f>
        <v>166</v>
      </c>
      <c r="C185" s="5">
        <f>IF(PaymentSchedule[[#This Row],[PMT NO]]&lt;&gt;"",EOMONTH(LoanStartDate,ROW(PaymentSchedule[[#This Row],[PMT NO]])-ROW(PaymentSchedule[[#Headers],[PMT NO]])-2)+DAY(LoanStartDate),"")</f>
        <v>49096</v>
      </c>
      <c r="D185" s="7">
        <f>IF(PaymentSchedule[[#This Row],[PMT NO]]&lt;&gt;"",IF(ROW()-ROW(PaymentSchedule[[#Headers],[BEGINNING BALANCE]])=1,LoanAmount,INDEX([ENDING BALANCE],ROW()-ROW(PaymentSchedule[[#Headers],[BEGINNING BALANCE]])-1)),"")</f>
        <v>83993.717950480233</v>
      </c>
      <c r="E185" s="7">
        <f>IF(PaymentSchedule[[#This Row],[PMT NO]]&lt;&gt;"",ScheduledPayment,"")</f>
        <v>608.02237179106271</v>
      </c>
      <c r="F18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8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85" s="7">
        <f>IF(PaymentSchedule[[#This Row],[PMT NO]]&lt;&gt;"",PaymentSchedule[[#This Row],[TOTAL PAYMENT]]-PaymentSchedule[[#This Row],[INTEREST]],"")</f>
        <v>293.04592947676184</v>
      </c>
      <c r="I185" s="7">
        <f>IF(PaymentSchedule[[#This Row],[PMT NO]]&lt;&gt;"",PaymentSchedule[[#This Row],[BEGINNING BALANCE]]*(InterestRate/PaymentsPerYear),"")</f>
        <v>314.97644231430087</v>
      </c>
      <c r="J185" s="7">
        <f>IF(PaymentSchedule[[#This Row],[PMT NO]]&lt;&gt;"",IF(PaymentSchedule[[#This Row],[SCHEDULED PAYMENT]]+PaymentSchedule[[#This Row],[EXTRA PAYMENT]]&lt;=PaymentSchedule[[#This Row],[BEGINNING BALANCE]],PaymentSchedule[[#This Row],[BEGINNING BALANCE]]-PaymentSchedule[[#This Row],[PRINCIPAL]],0),"")</f>
        <v>83700.672021003469</v>
      </c>
      <c r="K185" s="7">
        <f>IF(PaymentSchedule[[#This Row],[PMT NO]]&lt;&gt;"",SUM(INDEX([INTEREST],1,1):PaymentSchedule[[#This Row],[INTEREST]]),"")</f>
        <v>64632.385738319957</v>
      </c>
    </row>
    <row r="186" spans="2:11">
      <c r="B186" s="4">
        <f>IF(LoanIsGood,IF(ROW()-ROW(PaymentSchedule[[#Headers],[PMT NO]])&gt;ScheduledNumberOfPayments,"",ROW()-ROW(PaymentSchedule[[#Headers],[PMT NO]])),"")</f>
        <v>167</v>
      </c>
      <c r="C186" s="5">
        <f>IF(PaymentSchedule[[#This Row],[PMT NO]]&lt;&gt;"",EOMONTH(LoanStartDate,ROW(PaymentSchedule[[#This Row],[PMT NO]])-ROW(PaymentSchedule[[#Headers],[PMT NO]])-2)+DAY(LoanStartDate),"")</f>
        <v>49126</v>
      </c>
      <c r="D186" s="7">
        <f>IF(PaymentSchedule[[#This Row],[PMT NO]]&lt;&gt;"",IF(ROW()-ROW(PaymentSchedule[[#Headers],[BEGINNING BALANCE]])=1,LoanAmount,INDEX([ENDING BALANCE],ROW()-ROW(PaymentSchedule[[#Headers],[BEGINNING BALANCE]])-1)),"")</f>
        <v>83700.672021003469</v>
      </c>
      <c r="E186" s="7">
        <f>IF(PaymentSchedule[[#This Row],[PMT NO]]&lt;&gt;"",ScheduledPayment,"")</f>
        <v>608.02237179106271</v>
      </c>
      <c r="F18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8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86" s="7">
        <f>IF(PaymentSchedule[[#This Row],[PMT NO]]&lt;&gt;"",PaymentSchedule[[#This Row],[TOTAL PAYMENT]]-PaymentSchedule[[#This Row],[INTEREST]],"")</f>
        <v>294.14485171229973</v>
      </c>
      <c r="I186" s="7">
        <f>IF(PaymentSchedule[[#This Row],[PMT NO]]&lt;&gt;"",PaymentSchedule[[#This Row],[BEGINNING BALANCE]]*(InterestRate/PaymentsPerYear),"")</f>
        <v>313.87752007876298</v>
      </c>
      <c r="J186" s="7">
        <f>IF(PaymentSchedule[[#This Row],[PMT NO]]&lt;&gt;"",IF(PaymentSchedule[[#This Row],[SCHEDULED PAYMENT]]+PaymentSchedule[[#This Row],[EXTRA PAYMENT]]&lt;=PaymentSchedule[[#This Row],[BEGINNING BALANCE]],PaymentSchedule[[#This Row],[BEGINNING BALANCE]]-PaymentSchedule[[#This Row],[PRINCIPAL]],0),"")</f>
        <v>83406.527169291163</v>
      </c>
      <c r="K186" s="7">
        <f>IF(PaymentSchedule[[#This Row],[PMT NO]]&lt;&gt;"",SUM(INDEX([INTEREST],1,1):PaymentSchedule[[#This Row],[INTEREST]]),"")</f>
        <v>64946.263258398722</v>
      </c>
    </row>
    <row r="187" spans="2:11">
      <c r="B187" s="4">
        <f>IF(LoanIsGood,IF(ROW()-ROW(PaymentSchedule[[#Headers],[PMT NO]])&gt;ScheduledNumberOfPayments,"",ROW()-ROW(PaymentSchedule[[#Headers],[PMT NO]])),"")</f>
        <v>168</v>
      </c>
      <c r="C187" s="5">
        <f>IF(PaymentSchedule[[#This Row],[PMT NO]]&lt;&gt;"",EOMONTH(LoanStartDate,ROW(PaymentSchedule[[#This Row],[PMT NO]])-ROW(PaymentSchedule[[#Headers],[PMT NO]])-2)+DAY(LoanStartDate),"")</f>
        <v>49157</v>
      </c>
      <c r="D187" s="7">
        <f>IF(PaymentSchedule[[#This Row],[PMT NO]]&lt;&gt;"",IF(ROW()-ROW(PaymentSchedule[[#Headers],[BEGINNING BALANCE]])=1,LoanAmount,INDEX([ENDING BALANCE],ROW()-ROW(PaymentSchedule[[#Headers],[BEGINNING BALANCE]])-1)),"")</f>
        <v>83406.527169291163</v>
      </c>
      <c r="E187" s="7">
        <f>IF(PaymentSchedule[[#This Row],[PMT NO]]&lt;&gt;"",ScheduledPayment,"")</f>
        <v>608.02237179106271</v>
      </c>
      <c r="F18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8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87" s="7">
        <f>IF(PaymentSchedule[[#This Row],[PMT NO]]&lt;&gt;"",PaymentSchedule[[#This Row],[TOTAL PAYMENT]]-PaymentSchedule[[#This Row],[INTEREST]],"")</f>
        <v>295.24789490622084</v>
      </c>
      <c r="I187" s="7">
        <f>IF(PaymentSchedule[[#This Row],[PMT NO]]&lt;&gt;"",PaymentSchedule[[#This Row],[BEGINNING BALANCE]]*(InterestRate/PaymentsPerYear),"")</f>
        <v>312.77447688484187</v>
      </c>
      <c r="J187" s="7">
        <f>IF(PaymentSchedule[[#This Row],[PMT NO]]&lt;&gt;"",IF(PaymentSchedule[[#This Row],[SCHEDULED PAYMENT]]+PaymentSchedule[[#This Row],[EXTRA PAYMENT]]&lt;=PaymentSchedule[[#This Row],[BEGINNING BALANCE]],PaymentSchedule[[#This Row],[BEGINNING BALANCE]]-PaymentSchedule[[#This Row],[PRINCIPAL]],0),"")</f>
        <v>83111.279274384942</v>
      </c>
      <c r="K187" s="7">
        <f>IF(PaymentSchedule[[#This Row],[PMT NO]]&lt;&gt;"",SUM(INDEX([INTEREST],1,1):PaymentSchedule[[#This Row],[INTEREST]]),"")</f>
        <v>65259.037735283564</v>
      </c>
    </row>
    <row r="188" spans="2:11">
      <c r="B188" s="4">
        <f>IF(LoanIsGood,IF(ROW()-ROW(PaymentSchedule[[#Headers],[PMT NO]])&gt;ScheduledNumberOfPayments,"",ROW()-ROW(PaymentSchedule[[#Headers],[PMT NO]])),"")</f>
        <v>169</v>
      </c>
      <c r="C188" s="5">
        <f>IF(PaymentSchedule[[#This Row],[PMT NO]]&lt;&gt;"",EOMONTH(LoanStartDate,ROW(PaymentSchedule[[#This Row],[PMT NO]])-ROW(PaymentSchedule[[#Headers],[PMT NO]])-2)+DAY(LoanStartDate),"")</f>
        <v>49188</v>
      </c>
      <c r="D188" s="7">
        <f>IF(PaymentSchedule[[#This Row],[PMT NO]]&lt;&gt;"",IF(ROW()-ROW(PaymentSchedule[[#Headers],[BEGINNING BALANCE]])=1,LoanAmount,INDEX([ENDING BALANCE],ROW()-ROW(PaymentSchedule[[#Headers],[BEGINNING BALANCE]])-1)),"")</f>
        <v>83111.279274384942</v>
      </c>
      <c r="E188" s="7">
        <f>IF(PaymentSchedule[[#This Row],[PMT NO]]&lt;&gt;"",ScheduledPayment,"")</f>
        <v>608.02237179106271</v>
      </c>
      <c r="F18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8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88" s="7">
        <f>IF(PaymentSchedule[[#This Row],[PMT NO]]&lt;&gt;"",PaymentSchedule[[#This Row],[TOTAL PAYMENT]]-PaymentSchedule[[#This Row],[INTEREST]],"")</f>
        <v>296.35507451211919</v>
      </c>
      <c r="I188" s="7">
        <f>IF(PaymentSchedule[[#This Row],[PMT NO]]&lt;&gt;"",PaymentSchedule[[#This Row],[BEGINNING BALANCE]]*(InterestRate/PaymentsPerYear),"")</f>
        <v>311.66729727894352</v>
      </c>
      <c r="J188" s="7">
        <f>IF(PaymentSchedule[[#This Row],[PMT NO]]&lt;&gt;"",IF(PaymentSchedule[[#This Row],[SCHEDULED PAYMENT]]+PaymentSchedule[[#This Row],[EXTRA PAYMENT]]&lt;=PaymentSchedule[[#This Row],[BEGINNING BALANCE]],PaymentSchedule[[#This Row],[BEGINNING BALANCE]]-PaymentSchedule[[#This Row],[PRINCIPAL]],0),"")</f>
        <v>82814.924199872825</v>
      </c>
      <c r="K188" s="7">
        <f>IF(PaymentSchedule[[#This Row],[PMT NO]]&lt;&gt;"",SUM(INDEX([INTEREST],1,1):PaymentSchedule[[#This Row],[INTEREST]]),"")</f>
        <v>65570.705032562502</v>
      </c>
    </row>
    <row r="189" spans="2:11">
      <c r="B189" s="4">
        <f>IF(LoanIsGood,IF(ROW()-ROW(PaymentSchedule[[#Headers],[PMT NO]])&gt;ScheduledNumberOfPayments,"",ROW()-ROW(PaymentSchedule[[#Headers],[PMT NO]])),"")</f>
        <v>170</v>
      </c>
      <c r="C189" s="5">
        <f>IF(PaymentSchedule[[#This Row],[PMT NO]]&lt;&gt;"",EOMONTH(LoanStartDate,ROW(PaymentSchedule[[#This Row],[PMT NO]])-ROW(PaymentSchedule[[#Headers],[PMT NO]])-2)+DAY(LoanStartDate),"")</f>
        <v>49218</v>
      </c>
      <c r="D189" s="7">
        <f>IF(PaymentSchedule[[#This Row],[PMT NO]]&lt;&gt;"",IF(ROW()-ROW(PaymentSchedule[[#Headers],[BEGINNING BALANCE]])=1,LoanAmount,INDEX([ENDING BALANCE],ROW()-ROW(PaymentSchedule[[#Headers],[BEGINNING BALANCE]])-1)),"")</f>
        <v>82814.924199872825</v>
      </c>
      <c r="E189" s="7">
        <f>IF(PaymentSchedule[[#This Row],[PMT NO]]&lt;&gt;"",ScheduledPayment,"")</f>
        <v>608.02237179106271</v>
      </c>
      <c r="F18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8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89" s="7">
        <f>IF(PaymentSchedule[[#This Row],[PMT NO]]&lt;&gt;"",PaymentSchedule[[#This Row],[TOTAL PAYMENT]]-PaymentSchedule[[#This Row],[INTEREST]],"")</f>
        <v>297.46640604153964</v>
      </c>
      <c r="I189" s="7">
        <f>IF(PaymentSchedule[[#This Row],[PMT NO]]&lt;&gt;"",PaymentSchedule[[#This Row],[BEGINNING BALANCE]]*(InterestRate/PaymentsPerYear),"")</f>
        <v>310.55596574952307</v>
      </c>
      <c r="J189" s="7">
        <f>IF(PaymentSchedule[[#This Row],[PMT NO]]&lt;&gt;"",IF(PaymentSchedule[[#This Row],[SCHEDULED PAYMENT]]+PaymentSchedule[[#This Row],[EXTRA PAYMENT]]&lt;=PaymentSchedule[[#This Row],[BEGINNING BALANCE]],PaymentSchedule[[#This Row],[BEGINNING BALANCE]]-PaymentSchedule[[#This Row],[PRINCIPAL]],0),"")</f>
        <v>82517.457793831287</v>
      </c>
      <c r="K189" s="7">
        <f>IF(PaymentSchedule[[#This Row],[PMT NO]]&lt;&gt;"",SUM(INDEX([INTEREST],1,1):PaymentSchedule[[#This Row],[INTEREST]]),"")</f>
        <v>65881.26099831202</v>
      </c>
    </row>
    <row r="190" spans="2:11">
      <c r="B190" s="4">
        <f>IF(LoanIsGood,IF(ROW()-ROW(PaymentSchedule[[#Headers],[PMT NO]])&gt;ScheduledNumberOfPayments,"",ROW()-ROW(PaymentSchedule[[#Headers],[PMT NO]])),"")</f>
        <v>171</v>
      </c>
      <c r="C190" s="5">
        <f>IF(PaymentSchedule[[#This Row],[PMT NO]]&lt;&gt;"",EOMONTH(LoanStartDate,ROW(PaymentSchedule[[#This Row],[PMT NO]])-ROW(PaymentSchedule[[#Headers],[PMT NO]])-2)+DAY(LoanStartDate),"")</f>
        <v>49249</v>
      </c>
      <c r="D190" s="7">
        <f>IF(PaymentSchedule[[#This Row],[PMT NO]]&lt;&gt;"",IF(ROW()-ROW(PaymentSchedule[[#Headers],[BEGINNING BALANCE]])=1,LoanAmount,INDEX([ENDING BALANCE],ROW()-ROW(PaymentSchedule[[#Headers],[BEGINNING BALANCE]])-1)),"")</f>
        <v>82517.457793831287</v>
      </c>
      <c r="E190" s="7">
        <f>IF(PaymentSchedule[[#This Row],[PMT NO]]&lt;&gt;"",ScheduledPayment,"")</f>
        <v>608.02237179106271</v>
      </c>
      <c r="F19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9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90" s="7">
        <f>IF(PaymentSchedule[[#This Row],[PMT NO]]&lt;&gt;"",PaymentSchedule[[#This Row],[TOTAL PAYMENT]]-PaymentSchedule[[#This Row],[INTEREST]],"")</f>
        <v>298.58190506419538</v>
      </c>
      <c r="I190" s="7">
        <f>IF(PaymentSchedule[[#This Row],[PMT NO]]&lt;&gt;"",PaymentSchedule[[#This Row],[BEGINNING BALANCE]]*(InterestRate/PaymentsPerYear),"")</f>
        <v>309.44046672686733</v>
      </c>
      <c r="J190" s="7">
        <f>IF(PaymentSchedule[[#This Row],[PMT NO]]&lt;&gt;"",IF(PaymentSchedule[[#This Row],[SCHEDULED PAYMENT]]+PaymentSchedule[[#This Row],[EXTRA PAYMENT]]&lt;=PaymentSchedule[[#This Row],[BEGINNING BALANCE]],PaymentSchedule[[#This Row],[BEGINNING BALANCE]]-PaymentSchedule[[#This Row],[PRINCIPAL]],0),"")</f>
        <v>82218.875888767085</v>
      </c>
      <c r="K190" s="7">
        <f>IF(PaymentSchedule[[#This Row],[PMT NO]]&lt;&gt;"",SUM(INDEX([INTEREST],1,1):PaymentSchedule[[#This Row],[INTEREST]]),"")</f>
        <v>66190.701465038888</v>
      </c>
    </row>
    <row r="191" spans="2:11">
      <c r="B191" s="4">
        <f>IF(LoanIsGood,IF(ROW()-ROW(PaymentSchedule[[#Headers],[PMT NO]])&gt;ScheduledNumberOfPayments,"",ROW()-ROW(PaymentSchedule[[#Headers],[PMT NO]])),"")</f>
        <v>172</v>
      </c>
      <c r="C191" s="5">
        <f>IF(PaymentSchedule[[#This Row],[PMT NO]]&lt;&gt;"",EOMONTH(LoanStartDate,ROW(PaymentSchedule[[#This Row],[PMT NO]])-ROW(PaymentSchedule[[#Headers],[PMT NO]])-2)+DAY(LoanStartDate),"")</f>
        <v>49279</v>
      </c>
      <c r="D191" s="7">
        <f>IF(PaymentSchedule[[#This Row],[PMT NO]]&lt;&gt;"",IF(ROW()-ROW(PaymentSchedule[[#Headers],[BEGINNING BALANCE]])=1,LoanAmount,INDEX([ENDING BALANCE],ROW()-ROW(PaymentSchedule[[#Headers],[BEGINNING BALANCE]])-1)),"")</f>
        <v>82218.875888767085</v>
      </c>
      <c r="E191" s="7">
        <f>IF(PaymentSchedule[[#This Row],[PMT NO]]&lt;&gt;"",ScheduledPayment,"")</f>
        <v>608.02237179106271</v>
      </c>
      <c r="F19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9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91" s="7">
        <f>IF(PaymentSchedule[[#This Row],[PMT NO]]&lt;&gt;"",PaymentSchedule[[#This Row],[TOTAL PAYMENT]]-PaymentSchedule[[#This Row],[INTEREST]],"")</f>
        <v>299.70158720818614</v>
      </c>
      <c r="I191" s="7">
        <f>IF(PaymentSchedule[[#This Row],[PMT NO]]&lt;&gt;"",PaymentSchedule[[#This Row],[BEGINNING BALANCE]]*(InterestRate/PaymentsPerYear),"")</f>
        <v>308.32078458287657</v>
      </c>
      <c r="J191" s="7">
        <f>IF(PaymentSchedule[[#This Row],[PMT NO]]&lt;&gt;"",IF(PaymentSchedule[[#This Row],[SCHEDULED PAYMENT]]+PaymentSchedule[[#This Row],[EXTRA PAYMENT]]&lt;=PaymentSchedule[[#This Row],[BEGINNING BALANCE]],PaymentSchedule[[#This Row],[BEGINNING BALANCE]]-PaymentSchedule[[#This Row],[PRINCIPAL]],0),"")</f>
        <v>81919.174301558902</v>
      </c>
      <c r="K191" s="7">
        <f>IF(PaymentSchedule[[#This Row],[PMT NO]]&lt;&gt;"",SUM(INDEX([INTEREST],1,1):PaymentSchedule[[#This Row],[INTEREST]]),"")</f>
        <v>66499.022249621761</v>
      </c>
    </row>
    <row r="192" spans="2:11">
      <c r="B192" s="4">
        <f>IF(LoanIsGood,IF(ROW()-ROW(PaymentSchedule[[#Headers],[PMT NO]])&gt;ScheduledNumberOfPayments,"",ROW()-ROW(PaymentSchedule[[#Headers],[PMT NO]])),"")</f>
        <v>173</v>
      </c>
      <c r="C192" s="5">
        <f>IF(PaymentSchedule[[#This Row],[PMT NO]]&lt;&gt;"",EOMONTH(LoanStartDate,ROW(PaymentSchedule[[#This Row],[PMT NO]])-ROW(PaymentSchedule[[#Headers],[PMT NO]])-2)+DAY(LoanStartDate),"")</f>
        <v>49310</v>
      </c>
      <c r="D192" s="7">
        <f>IF(PaymentSchedule[[#This Row],[PMT NO]]&lt;&gt;"",IF(ROW()-ROW(PaymentSchedule[[#Headers],[BEGINNING BALANCE]])=1,LoanAmount,INDEX([ENDING BALANCE],ROW()-ROW(PaymentSchedule[[#Headers],[BEGINNING BALANCE]])-1)),"")</f>
        <v>81919.174301558902</v>
      </c>
      <c r="E192" s="7">
        <f>IF(PaymentSchedule[[#This Row],[PMT NO]]&lt;&gt;"",ScheduledPayment,"")</f>
        <v>608.02237179106271</v>
      </c>
      <c r="F19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9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92" s="7">
        <f>IF(PaymentSchedule[[#This Row],[PMT NO]]&lt;&gt;"",PaymentSchedule[[#This Row],[TOTAL PAYMENT]]-PaymentSchedule[[#This Row],[INTEREST]],"")</f>
        <v>300.82546816021681</v>
      </c>
      <c r="I192" s="7">
        <f>IF(PaymentSchedule[[#This Row],[PMT NO]]&lt;&gt;"",PaymentSchedule[[#This Row],[BEGINNING BALANCE]]*(InterestRate/PaymentsPerYear),"")</f>
        <v>307.1969036308459</v>
      </c>
      <c r="J192" s="7">
        <f>IF(PaymentSchedule[[#This Row],[PMT NO]]&lt;&gt;"",IF(PaymentSchedule[[#This Row],[SCHEDULED PAYMENT]]+PaymentSchedule[[#This Row],[EXTRA PAYMENT]]&lt;=PaymentSchedule[[#This Row],[BEGINNING BALANCE]],PaymentSchedule[[#This Row],[BEGINNING BALANCE]]-PaymentSchedule[[#This Row],[PRINCIPAL]],0),"")</f>
        <v>81618.34883339869</v>
      </c>
      <c r="K192" s="7">
        <f>IF(PaymentSchedule[[#This Row],[PMT NO]]&lt;&gt;"",SUM(INDEX([INTEREST],1,1):PaymentSchedule[[#This Row],[INTEREST]]),"")</f>
        <v>66806.219153252605</v>
      </c>
    </row>
    <row r="193" spans="2:11">
      <c r="B193" s="4">
        <f>IF(LoanIsGood,IF(ROW()-ROW(PaymentSchedule[[#Headers],[PMT NO]])&gt;ScheduledNumberOfPayments,"",ROW()-ROW(PaymentSchedule[[#Headers],[PMT NO]])),"")</f>
        <v>174</v>
      </c>
      <c r="C193" s="5">
        <f>IF(PaymentSchedule[[#This Row],[PMT NO]]&lt;&gt;"",EOMONTH(LoanStartDate,ROW(PaymentSchedule[[#This Row],[PMT NO]])-ROW(PaymentSchedule[[#Headers],[PMT NO]])-2)+DAY(LoanStartDate),"")</f>
        <v>49341</v>
      </c>
      <c r="D193" s="7">
        <f>IF(PaymentSchedule[[#This Row],[PMT NO]]&lt;&gt;"",IF(ROW()-ROW(PaymentSchedule[[#Headers],[BEGINNING BALANCE]])=1,LoanAmount,INDEX([ENDING BALANCE],ROW()-ROW(PaymentSchedule[[#Headers],[BEGINNING BALANCE]])-1)),"")</f>
        <v>81618.34883339869</v>
      </c>
      <c r="E193" s="7">
        <f>IF(PaymentSchedule[[#This Row],[PMT NO]]&lt;&gt;"",ScheduledPayment,"")</f>
        <v>608.02237179106271</v>
      </c>
      <c r="F19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9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93" s="7">
        <f>IF(PaymentSchedule[[#This Row],[PMT NO]]&lt;&gt;"",PaymentSchedule[[#This Row],[TOTAL PAYMENT]]-PaymentSchedule[[#This Row],[INTEREST]],"")</f>
        <v>301.95356366581763</v>
      </c>
      <c r="I193" s="7">
        <f>IF(PaymentSchedule[[#This Row],[PMT NO]]&lt;&gt;"",PaymentSchedule[[#This Row],[BEGINNING BALANCE]]*(InterestRate/PaymentsPerYear),"")</f>
        <v>306.06880812524508</v>
      </c>
      <c r="J193" s="7">
        <f>IF(PaymentSchedule[[#This Row],[PMT NO]]&lt;&gt;"",IF(PaymentSchedule[[#This Row],[SCHEDULED PAYMENT]]+PaymentSchedule[[#This Row],[EXTRA PAYMENT]]&lt;=PaymentSchedule[[#This Row],[BEGINNING BALANCE]],PaymentSchedule[[#This Row],[BEGINNING BALANCE]]-PaymentSchedule[[#This Row],[PRINCIPAL]],0),"")</f>
        <v>81316.395269732879</v>
      </c>
      <c r="K193" s="7">
        <f>IF(PaymentSchedule[[#This Row],[PMT NO]]&lt;&gt;"",SUM(INDEX([INTEREST],1,1):PaymentSchedule[[#This Row],[INTEREST]]),"")</f>
        <v>67112.28796137785</v>
      </c>
    </row>
    <row r="194" spans="2:11">
      <c r="B194" s="4">
        <f>IF(LoanIsGood,IF(ROW()-ROW(PaymentSchedule[[#Headers],[PMT NO]])&gt;ScheduledNumberOfPayments,"",ROW()-ROW(PaymentSchedule[[#Headers],[PMT NO]])),"")</f>
        <v>175</v>
      </c>
      <c r="C194" s="5">
        <f>IF(PaymentSchedule[[#This Row],[PMT NO]]&lt;&gt;"",EOMONTH(LoanStartDate,ROW(PaymentSchedule[[#This Row],[PMT NO]])-ROW(PaymentSchedule[[#Headers],[PMT NO]])-2)+DAY(LoanStartDate),"")</f>
        <v>49369</v>
      </c>
      <c r="D194" s="7">
        <f>IF(PaymentSchedule[[#This Row],[PMT NO]]&lt;&gt;"",IF(ROW()-ROW(PaymentSchedule[[#Headers],[BEGINNING BALANCE]])=1,LoanAmount,INDEX([ENDING BALANCE],ROW()-ROW(PaymentSchedule[[#Headers],[BEGINNING BALANCE]])-1)),"")</f>
        <v>81316.395269732879</v>
      </c>
      <c r="E194" s="7">
        <f>IF(PaymentSchedule[[#This Row],[PMT NO]]&lt;&gt;"",ScheduledPayment,"")</f>
        <v>608.02237179106271</v>
      </c>
      <c r="F19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9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94" s="7">
        <f>IF(PaymentSchedule[[#This Row],[PMT NO]]&lt;&gt;"",PaymentSchedule[[#This Row],[TOTAL PAYMENT]]-PaymentSchedule[[#This Row],[INTEREST]],"")</f>
        <v>303.08588952956444</v>
      </c>
      <c r="I194" s="7">
        <f>IF(PaymentSchedule[[#This Row],[PMT NO]]&lt;&gt;"",PaymentSchedule[[#This Row],[BEGINNING BALANCE]]*(InterestRate/PaymentsPerYear),"")</f>
        <v>304.93648226149827</v>
      </c>
      <c r="J194" s="7">
        <f>IF(PaymentSchedule[[#This Row],[PMT NO]]&lt;&gt;"",IF(PaymentSchedule[[#This Row],[SCHEDULED PAYMENT]]+PaymentSchedule[[#This Row],[EXTRA PAYMENT]]&lt;=PaymentSchedule[[#This Row],[BEGINNING BALANCE]],PaymentSchedule[[#This Row],[BEGINNING BALANCE]]-PaymentSchedule[[#This Row],[PRINCIPAL]],0),"")</f>
        <v>81013.309380203311</v>
      </c>
      <c r="K194" s="7">
        <f>IF(PaymentSchedule[[#This Row],[PMT NO]]&lt;&gt;"",SUM(INDEX([INTEREST],1,1):PaymentSchedule[[#This Row],[INTEREST]]),"")</f>
        <v>67417.224443639352</v>
      </c>
    </row>
    <row r="195" spans="2:11">
      <c r="B195" s="4">
        <f>IF(LoanIsGood,IF(ROW()-ROW(PaymentSchedule[[#Headers],[PMT NO]])&gt;ScheduledNumberOfPayments,"",ROW()-ROW(PaymentSchedule[[#Headers],[PMT NO]])),"")</f>
        <v>176</v>
      </c>
      <c r="C195" s="5">
        <f>IF(PaymentSchedule[[#This Row],[PMT NO]]&lt;&gt;"",EOMONTH(LoanStartDate,ROW(PaymentSchedule[[#This Row],[PMT NO]])-ROW(PaymentSchedule[[#Headers],[PMT NO]])-2)+DAY(LoanStartDate),"")</f>
        <v>49400</v>
      </c>
      <c r="D195" s="7">
        <f>IF(PaymentSchedule[[#This Row],[PMT NO]]&lt;&gt;"",IF(ROW()-ROW(PaymentSchedule[[#Headers],[BEGINNING BALANCE]])=1,LoanAmount,INDEX([ENDING BALANCE],ROW()-ROW(PaymentSchedule[[#Headers],[BEGINNING BALANCE]])-1)),"")</f>
        <v>81013.309380203311</v>
      </c>
      <c r="E195" s="7">
        <f>IF(PaymentSchedule[[#This Row],[PMT NO]]&lt;&gt;"",ScheduledPayment,"")</f>
        <v>608.02237179106271</v>
      </c>
      <c r="F19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9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95" s="7">
        <f>IF(PaymentSchedule[[#This Row],[PMT NO]]&lt;&gt;"",PaymentSchedule[[#This Row],[TOTAL PAYMENT]]-PaymentSchedule[[#This Row],[INTEREST]],"")</f>
        <v>304.22246161530029</v>
      </c>
      <c r="I195" s="7">
        <f>IF(PaymentSchedule[[#This Row],[PMT NO]]&lt;&gt;"",PaymentSchedule[[#This Row],[BEGINNING BALANCE]]*(InterestRate/PaymentsPerYear),"")</f>
        <v>303.79991017576242</v>
      </c>
      <c r="J195" s="7">
        <f>IF(PaymentSchedule[[#This Row],[PMT NO]]&lt;&gt;"",IF(PaymentSchedule[[#This Row],[SCHEDULED PAYMENT]]+PaymentSchedule[[#This Row],[EXTRA PAYMENT]]&lt;=PaymentSchedule[[#This Row],[BEGINNING BALANCE]],PaymentSchedule[[#This Row],[BEGINNING BALANCE]]-PaymentSchedule[[#This Row],[PRINCIPAL]],0),"")</f>
        <v>80709.086918588015</v>
      </c>
      <c r="K195" s="7">
        <f>IF(PaymentSchedule[[#This Row],[PMT NO]]&lt;&gt;"",SUM(INDEX([INTEREST],1,1):PaymentSchedule[[#This Row],[INTEREST]]),"")</f>
        <v>67721.024353815112</v>
      </c>
    </row>
    <row r="196" spans="2:11">
      <c r="B196" s="4">
        <f>IF(LoanIsGood,IF(ROW()-ROW(PaymentSchedule[[#Headers],[PMT NO]])&gt;ScheduledNumberOfPayments,"",ROW()-ROW(PaymentSchedule[[#Headers],[PMT NO]])),"")</f>
        <v>177</v>
      </c>
      <c r="C196" s="5">
        <f>IF(PaymentSchedule[[#This Row],[PMT NO]]&lt;&gt;"",EOMONTH(LoanStartDate,ROW(PaymentSchedule[[#This Row],[PMT NO]])-ROW(PaymentSchedule[[#Headers],[PMT NO]])-2)+DAY(LoanStartDate),"")</f>
        <v>49430</v>
      </c>
      <c r="D196" s="7">
        <f>IF(PaymentSchedule[[#This Row],[PMT NO]]&lt;&gt;"",IF(ROW()-ROW(PaymentSchedule[[#Headers],[BEGINNING BALANCE]])=1,LoanAmount,INDEX([ENDING BALANCE],ROW()-ROW(PaymentSchedule[[#Headers],[BEGINNING BALANCE]])-1)),"")</f>
        <v>80709.086918588015</v>
      </c>
      <c r="E196" s="7">
        <f>IF(PaymentSchedule[[#This Row],[PMT NO]]&lt;&gt;"",ScheduledPayment,"")</f>
        <v>608.02237179106271</v>
      </c>
      <c r="F19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9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96" s="7">
        <f>IF(PaymentSchedule[[#This Row],[PMT NO]]&lt;&gt;"",PaymentSchedule[[#This Row],[TOTAL PAYMENT]]-PaymentSchedule[[#This Row],[INTEREST]],"")</f>
        <v>305.36329584635769</v>
      </c>
      <c r="I196" s="7">
        <f>IF(PaymentSchedule[[#This Row],[PMT NO]]&lt;&gt;"",PaymentSchedule[[#This Row],[BEGINNING BALANCE]]*(InterestRate/PaymentsPerYear),"")</f>
        <v>302.65907594470502</v>
      </c>
      <c r="J196" s="7">
        <f>IF(PaymentSchedule[[#This Row],[PMT NO]]&lt;&gt;"",IF(PaymentSchedule[[#This Row],[SCHEDULED PAYMENT]]+PaymentSchedule[[#This Row],[EXTRA PAYMENT]]&lt;=PaymentSchedule[[#This Row],[BEGINNING BALANCE]],PaymentSchedule[[#This Row],[BEGINNING BALANCE]]-PaymentSchedule[[#This Row],[PRINCIPAL]],0),"")</f>
        <v>80403.723622741658</v>
      </c>
      <c r="K196" s="7">
        <f>IF(PaymentSchedule[[#This Row],[PMT NO]]&lt;&gt;"",SUM(INDEX([INTEREST],1,1):PaymentSchedule[[#This Row],[INTEREST]]),"")</f>
        <v>68023.683429759811</v>
      </c>
    </row>
    <row r="197" spans="2:11">
      <c r="B197" s="4">
        <f>IF(LoanIsGood,IF(ROW()-ROW(PaymentSchedule[[#Headers],[PMT NO]])&gt;ScheduledNumberOfPayments,"",ROW()-ROW(PaymentSchedule[[#Headers],[PMT NO]])),"")</f>
        <v>178</v>
      </c>
      <c r="C197" s="5">
        <f>IF(PaymentSchedule[[#This Row],[PMT NO]]&lt;&gt;"",EOMONTH(LoanStartDate,ROW(PaymentSchedule[[#This Row],[PMT NO]])-ROW(PaymentSchedule[[#Headers],[PMT NO]])-2)+DAY(LoanStartDate),"")</f>
        <v>49461</v>
      </c>
      <c r="D197" s="7">
        <f>IF(PaymentSchedule[[#This Row],[PMT NO]]&lt;&gt;"",IF(ROW()-ROW(PaymentSchedule[[#Headers],[BEGINNING BALANCE]])=1,LoanAmount,INDEX([ENDING BALANCE],ROW()-ROW(PaymentSchedule[[#Headers],[BEGINNING BALANCE]])-1)),"")</f>
        <v>80403.723622741658</v>
      </c>
      <c r="E197" s="7">
        <f>IF(PaymentSchedule[[#This Row],[PMT NO]]&lt;&gt;"",ScheduledPayment,"")</f>
        <v>608.02237179106271</v>
      </c>
      <c r="F19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9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97" s="7">
        <f>IF(PaymentSchedule[[#This Row],[PMT NO]]&lt;&gt;"",PaymentSchedule[[#This Row],[TOTAL PAYMENT]]-PaymentSchedule[[#This Row],[INTEREST]],"")</f>
        <v>306.50840820578151</v>
      </c>
      <c r="I197" s="7">
        <f>IF(PaymentSchedule[[#This Row],[PMT NO]]&lt;&gt;"",PaymentSchedule[[#This Row],[BEGINNING BALANCE]]*(InterestRate/PaymentsPerYear),"")</f>
        <v>301.5139635852812</v>
      </c>
      <c r="J197" s="7">
        <f>IF(PaymentSchedule[[#This Row],[PMT NO]]&lt;&gt;"",IF(PaymentSchedule[[#This Row],[SCHEDULED PAYMENT]]+PaymentSchedule[[#This Row],[EXTRA PAYMENT]]&lt;=PaymentSchedule[[#This Row],[BEGINNING BALANCE]],PaymentSchedule[[#This Row],[BEGINNING BALANCE]]-PaymentSchedule[[#This Row],[PRINCIPAL]],0),"")</f>
        <v>80097.21521453587</v>
      </c>
      <c r="K197" s="7">
        <f>IF(PaymentSchedule[[#This Row],[PMT NO]]&lt;&gt;"",SUM(INDEX([INTEREST],1,1):PaymentSchedule[[#This Row],[INTEREST]]),"")</f>
        <v>68325.197393345094</v>
      </c>
    </row>
    <row r="198" spans="2:11">
      <c r="B198" s="4">
        <f>IF(LoanIsGood,IF(ROW()-ROW(PaymentSchedule[[#Headers],[PMT NO]])&gt;ScheduledNumberOfPayments,"",ROW()-ROW(PaymentSchedule[[#Headers],[PMT NO]])),"")</f>
        <v>179</v>
      </c>
      <c r="C198" s="5">
        <f>IF(PaymentSchedule[[#This Row],[PMT NO]]&lt;&gt;"",EOMONTH(LoanStartDate,ROW(PaymentSchedule[[#This Row],[PMT NO]])-ROW(PaymentSchedule[[#Headers],[PMT NO]])-2)+DAY(LoanStartDate),"")</f>
        <v>49491</v>
      </c>
      <c r="D198" s="7">
        <f>IF(PaymentSchedule[[#This Row],[PMT NO]]&lt;&gt;"",IF(ROW()-ROW(PaymentSchedule[[#Headers],[BEGINNING BALANCE]])=1,LoanAmount,INDEX([ENDING BALANCE],ROW()-ROW(PaymentSchedule[[#Headers],[BEGINNING BALANCE]])-1)),"")</f>
        <v>80097.21521453587</v>
      </c>
      <c r="E198" s="7">
        <f>IF(PaymentSchedule[[#This Row],[PMT NO]]&lt;&gt;"",ScheduledPayment,"")</f>
        <v>608.02237179106271</v>
      </c>
      <c r="F19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9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98" s="7">
        <f>IF(PaymentSchedule[[#This Row],[PMT NO]]&lt;&gt;"",PaymentSchedule[[#This Row],[TOTAL PAYMENT]]-PaymentSchedule[[#This Row],[INTEREST]],"")</f>
        <v>307.65781473655323</v>
      </c>
      <c r="I198" s="7">
        <f>IF(PaymentSchedule[[#This Row],[PMT NO]]&lt;&gt;"",PaymentSchedule[[#This Row],[BEGINNING BALANCE]]*(InterestRate/PaymentsPerYear),"")</f>
        <v>300.36455705450948</v>
      </c>
      <c r="J198" s="7">
        <f>IF(PaymentSchedule[[#This Row],[PMT NO]]&lt;&gt;"",IF(PaymentSchedule[[#This Row],[SCHEDULED PAYMENT]]+PaymentSchedule[[#This Row],[EXTRA PAYMENT]]&lt;=PaymentSchedule[[#This Row],[BEGINNING BALANCE]],PaymentSchedule[[#This Row],[BEGINNING BALANCE]]-PaymentSchedule[[#This Row],[PRINCIPAL]],0),"")</f>
        <v>79789.55739979932</v>
      </c>
      <c r="K198" s="7">
        <f>IF(PaymentSchedule[[#This Row],[PMT NO]]&lt;&gt;"",SUM(INDEX([INTEREST],1,1):PaymentSchedule[[#This Row],[INTEREST]]),"")</f>
        <v>68625.561950399599</v>
      </c>
    </row>
    <row r="199" spans="2:11">
      <c r="B199" s="4">
        <f>IF(LoanIsGood,IF(ROW()-ROW(PaymentSchedule[[#Headers],[PMT NO]])&gt;ScheduledNumberOfPayments,"",ROW()-ROW(PaymentSchedule[[#Headers],[PMT NO]])),"")</f>
        <v>180</v>
      </c>
      <c r="C199" s="5">
        <f>IF(PaymentSchedule[[#This Row],[PMT NO]]&lt;&gt;"",EOMONTH(LoanStartDate,ROW(PaymentSchedule[[#This Row],[PMT NO]])-ROW(PaymentSchedule[[#Headers],[PMT NO]])-2)+DAY(LoanStartDate),"")</f>
        <v>49522</v>
      </c>
      <c r="D199" s="7">
        <f>IF(PaymentSchedule[[#This Row],[PMT NO]]&lt;&gt;"",IF(ROW()-ROW(PaymentSchedule[[#Headers],[BEGINNING BALANCE]])=1,LoanAmount,INDEX([ENDING BALANCE],ROW()-ROW(PaymentSchedule[[#Headers],[BEGINNING BALANCE]])-1)),"")</f>
        <v>79789.55739979932</v>
      </c>
      <c r="E199" s="7">
        <f>IF(PaymentSchedule[[#This Row],[PMT NO]]&lt;&gt;"",ScheduledPayment,"")</f>
        <v>608.02237179106271</v>
      </c>
      <c r="F19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19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199" s="7">
        <f>IF(PaymentSchedule[[#This Row],[PMT NO]]&lt;&gt;"",PaymentSchedule[[#This Row],[TOTAL PAYMENT]]-PaymentSchedule[[#This Row],[INTEREST]],"")</f>
        <v>308.81153154181527</v>
      </c>
      <c r="I199" s="7">
        <f>IF(PaymentSchedule[[#This Row],[PMT NO]]&lt;&gt;"",PaymentSchedule[[#This Row],[BEGINNING BALANCE]]*(InterestRate/PaymentsPerYear),"")</f>
        <v>299.21084024924744</v>
      </c>
      <c r="J199" s="7">
        <f>IF(PaymentSchedule[[#This Row],[PMT NO]]&lt;&gt;"",IF(PaymentSchedule[[#This Row],[SCHEDULED PAYMENT]]+PaymentSchedule[[#This Row],[EXTRA PAYMENT]]&lt;=PaymentSchedule[[#This Row],[BEGINNING BALANCE]],PaymentSchedule[[#This Row],[BEGINNING BALANCE]]-PaymentSchedule[[#This Row],[PRINCIPAL]],0),"")</f>
        <v>79480.745868257509</v>
      </c>
      <c r="K199" s="7">
        <f>IF(PaymentSchedule[[#This Row],[PMT NO]]&lt;&gt;"",SUM(INDEX([INTEREST],1,1):PaymentSchedule[[#This Row],[INTEREST]]),"")</f>
        <v>68924.772790648844</v>
      </c>
    </row>
    <row r="200" spans="2:11">
      <c r="B200" s="4">
        <f>IF(LoanIsGood,IF(ROW()-ROW(PaymentSchedule[[#Headers],[PMT NO]])&gt;ScheduledNumberOfPayments,"",ROW()-ROW(PaymentSchedule[[#Headers],[PMT NO]])),"")</f>
        <v>181</v>
      </c>
      <c r="C200" s="5">
        <f>IF(PaymentSchedule[[#This Row],[PMT NO]]&lt;&gt;"",EOMONTH(LoanStartDate,ROW(PaymentSchedule[[#This Row],[PMT NO]])-ROW(PaymentSchedule[[#Headers],[PMT NO]])-2)+DAY(LoanStartDate),"")</f>
        <v>49553</v>
      </c>
      <c r="D200" s="7">
        <f>IF(PaymentSchedule[[#This Row],[PMT NO]]&lt;&gt;"",IF(ROW()-ROW(PaymentSchedule[[#Headers],[BEGINNING BALANCE]])=1,LoanAmount,INDEX([ENDING BALANCE],ROW()-ROW(PaymentSchedule[[#Headers],[BEGINNING BALANCE]])-1)),"")</f>
        <v>79480.745868257509</v>
      </c>
      <c r="E200" s="7">
        <f>IF(PaymentSchedule[[#This Row],[PMT NO]]&lt;&gt;"",ScheduledPayment,"")</f>
        <v>608.02237179106271</v>
      </c>
      <c r="F20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0" s="7">
        <f>IF(PaymentSchedule[[#This Row],[PMT NO]]&lt;&gt;"",PaymentSchedule[[#This Row],[TOTAL PAYMENT]]-PaymentSchedule[[#This Row],[INTEREST]],"")</f>
        <v>309.96957478509705</v>
      </c>
      <c r="I200" s="7">
        <f>IF(PaymentSchedule[[#This Row],[PMT NO]]&lt;&gt;"",PaymentSchedule[[#This Row],[BEGINNING BALANCE]]*(InterestRate/PaymentsPerYear),"")</f>
        <v>298.05279700596566</v>
      </c>
      <c r="J200" s="7">
        <f>IF(PaymentSchedule[[#This Row],[PMT NO]]&lt;&gt;"",IF(PaymentSchedule[[#This Row],[SCHEDULED PAYMENT]]+PaymentSchedule[[#This Row],[EXTRA PAYMENT]]&lt;=PaymentSchedule[[#This Row],[BEGINNING BALANCE]],PaymentSchedule[[#This Row],[BEGINNING BALANCE]]-PaymentSchedule[[#This Row],[PRINCIPAL]],0),"")</f>
        <v>79170.776293472416</v>
      </c>
      <c r="K200" s="7">
        <f>IF(PaymentSchedule[[#This Row],[PMT NO]]&lt;&gt;"",SUM(INDEX([INTEREST],1,1):PaymentSchedule[[#This Row],[INTEREST]]),"")</f>
        <v>69222.825587654806</v>
      </c>
    </row>
    <row r="201" spans="2:11">
      <c r="B201" s="4">
        <f>IF(LoanIsGood,IF(ROW()-ROW(PaymentSchedule[[#Headers],[PMT NO]])&gt;ScheduledNumberOfPayments,"",ROW()-ROW(PaymentSchedule[[#Headers],[PMT NO]])),"")</f>
        <v>182</v>
      </c>
      <c r="C201" s="5">
        <f>IF(PaymentSchedule[[#This Row],[PMT NO]]&lt;&gt;"",EOMONTH(LoanStartDate,ROW(PaymentSchedule[[#This Row],[PMT NO]])-ROW(PaymentSchedule[[#Headers],[PMT NO]])-2)+DAY(LoanStartDate),"")</f>
        <v>49583</v>
      </c>
      <c r="D201" s="7">
        <f>IF(PaymentSchedule[[#This Row],[PMT NO]]&lt;&gt;"",IF(ROW()-ROW(PaymentSchedule[[#Headers],[BEGINNING BALANCE]])=1,LoanAmount,INDEX([ENDING BALANCE],ROW()-ROW(PaymentSchedule[[#Headers],[BEGINNING BALANCE]])-1)),"")</f>
        <v>79170.776293472416</v>
      </c>
      <c r="E201" s="7">
        <f>IF(PaymentSchedule[[#This Row],[PMT NO]]&lt;&gt;"",ScheduledPayment,"")</f>
        <v>608.02237179106271</v>
      </c>
      <c r="F20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1" s="7">
        <f>IF(PaymentSchedule[[#This Row],[PMT NO]]&lt;&gt;"",PaymentSchedule[[#This Row],[TOTAL PAYMENT]]-PaymentSchedule[[#This Row],[INTEREST]],"")</f>
        <v>311.13196069054118</v>
      </c>
      <c r="I201" s="7">
        <f>IF(PaymentSchedule[[#This Row],[PMT NO]]&lt;&gt;"",PaymentSchedule[[#This Row],[BEGINNING BALANCE]]*(InterestRate/PaymentsPerYear),"")</f>
        <v>296.89041110052153</v>
      </c>
      <c r="J201" s="7">
        <f>IF(PaymentSchedule[[#This Row],[PMT NO]]&lt;&gt;"",IF(PaymentSchedule[[#This Row],[SCHEDULED PAYMENT]]+PaymentSchedule[[#This Row],[EXTRA PAYMENT]]&lt;=PaymentSchedule[[#This Row],[BEGINNING BALANCE]],PaymentSchedule[[#This Row],[BEGINNING BALANCE]]-PaymentSchedule[[#This Row],[PRINCIPAL]],0),"")</f>
        <v>78859.644332781871</v>
      </c>
      <c r="K201" s="7">
        <f>IF(PaymentSchedule[[#This Row],[PMT NO]]&lt;&gt;"",SUM(INDEX([INTEREST],1,1):PaymentSchedule[[#This Row],[INTEREST]]),"")</f>
        <v>69519.715998755331</v>
      </c>
    </row>
    <row r="202" spans="2:11">
      <c r="B202" s="4">
        <f>IF(LoanIsGood,IF(ROW()-ROW(PaymentSchedule[[#Headers],[PMT NO]])&gt;ScheduledNumberOfPayments,"",ROW()-ROW(PaymentSchedule[[#Headers],[PMT NO]])),"")</f>
        <v>183</v>
      </c>
      <c r="C202" s="5">
        <f>IF(PaymentSchedule[[#This Row],[PMT NO]]&lt;&gt;"",EOMONTH(LoanStartDate,ROW(PaymentSchedule[[#This Row],[PMT NO]])-ROW(PaymentSchedule[[#Headers],[PMT NO]])-2)+DAY(LoanStartDate),"")</f>
        <v>49614</v>
      </c>
      <c r="D202" s="7">
        <f>IF(PaymentSchedule[[#This Row],[PMT NO]]&lt;&gt;"",IF(ROW()-ROW(PaymentSchedule[[#Headers],[BEGINNING BALANCE]])=1,LoanAmount,INDEX([ENDING BALANCE],ROW()-ROW(PaymentSchedule[[#Headers],[BEGINNING BALANCE]])-1)),"")</f>
        <v>78859.644332781871</v>
      </c>
      <c r="E202" s="7">
        <f>IF(PaymentSchedule[[#This Row],[PMT NO]]&lt;&gt;"",ScheduledPayment,"")</f>
        <v>608.02237179106271</v>
      </c>
      <c r="F20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2" s="7">
        <f>IF(PaymentSchedule[[#This Row],[PMT NO]]&lt;&gt;"",PaymentSchedule[[#This Row],[TOTAL PAYMENT]]-PaymentSchedule[[#This Row],[INTEREST]],"")</f>
        <v>312.29870554313072</v>
      </c>
      <c r="I202" s="7">
        <f>IF(PaymentSchedule[[#This Row],[PMT NO]]&lt;&gt;"",PaymentSchedule[[#This Row],[BEGINNING BALANCE]]*(InterestRate/PaymentsPerYear),"")</f>
        <v>295.72366624793199</v>
      </c>
      <c r="J202" s="7">
        <f>IF(PaymentSchedule[[#This Row],[PMT NO]]&lt;&gt;"",IF(PaymentSchedule[[#This Row],[SCHEDULED PAYMENT]]+PaymentSchedule[[#This Row],[EXTRA PAYMENT]]&lt;=PaymentSchedule[[#This Row],[BEGINNING BALANCE]],PaymentSchedule[[#This Row],[BEGINNING BALANCE]]-PaymentSchedule[[#This Row],[PRINCIPAL]],0),"")</f>
        <v>78547.345627238741</v>
      </c>
      <c r="K202" s="7">
        <f>IF(PaymentSchedule[[#This Row],[PMT NO]]&lt;&gt;"",SUM(INDEX([INTEREST],1,1):PaymentSchedule[[#This Row],[INTEREST]]),"")</f>
        <v>69815.439665003258</v>
      </c>
    </row>
    <row r="203" spans="2:11">
      <c r="B203" s="4">
        <f>IF(LoanIsGood,IF(ROW()-ROW(PaymentSchedule[[#Headers],[PMT NO]])&gt;ScheduledNumberOfPayments,"",ROW()-ROW(PaymentSchedule[[#Headers],[PMT NO]])),"")</f>
        <v>184</v>
      </c>
      <c r="C203" s="5">
        <f>IF(PaymentSchedule[[#This Row],[PMT NO]]&lt;&gt;"",EOMONTH(LoanStartDate,ROW(PaymentSchedule[[#This Row],[PMT NO]])-ROW(PaymentSchedule[[#Headers],[PMT NO]])-2)+DAY(LoanStartDate),"")</f>
        <v>49644</v>
      </c>
      <c r="D203" s="7">
        <f>IF(PaymentSchedule[[#This Row],[PMT NO]]&lt;&gt;"",IF(ROW()-ROW(PaymentSchedule[[#Headers],[BEGINNING BALANCE]])=1,LoanAmount,INDEX([ENDING BALANCE],ROW()-ROW(PaymentSchedule[[#Headers],[BEGINNING BALANCE]])-1)),"")</f>
        <v>78547.345627238741</v>
      </c>
      <c r="E203" s="7">
        <f>IF(PaymentSchedule[[#This Row],[PMT NO]]&lt;&gt;"",ScheduledPayment,"")</f>
        <v>608.02237179106271</v>
      </c>
      <c r="F20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3" s="7">
        <f>IF(PaymentSchedule[[#This Row],[PMT NO]]&lt;&gt;"",PaymentSchedule[[#This Row],[TOTAL PAYMENT]]-PaymentSchedule[[#This Row],[INTEREST]],"")</f>
        <v>313.46982568891747</v>
      </c>
      <c r="I203" s="7">
        <f>IF(PaymentSchedule[[#This Row],[PMT NO]]&lt;&gt;"",PaymentSchedule[[#This Row],[BEGINNING BALANCE]]*(InterestRate/PaymentsPerYear),"")</f>
        <v>294.55254610214524</v>
      </c>
      <c r="J203" s="7">
        <f>IF(PaymentSchedule[[#This Row],[PMT NO]]&lt;&gt;"",IF(PaymentSchedule[[#This Row],[SCHEDULED PAYMENT]]+PaymentSchedule[[#This Row],[EXTRA PAYMENT]]&lt;=PaymentSchedule[[#This Row],[BEGINNING BALANCE]],PaymentSchedule[[#This Row],[BEGINNING BALANCE]]-PaymentSchedule[[#This Row],[PRINCIPAL]],0),"")</f>
        <v>78233.875801549817</v>
      </c>
      <c r="K203" s="7">
        <f>IF(PaymentSchedule[[#This Row],[PMT NO]]&lt;&gt;"",SUM(INDEX([INTEREST],1,1):PaymentSchedule[[#This Row],[INTEREST]]),"")</f>
        <v>70109.992211105404</v>
      </c>
    </row>
    <row r="204" spans="2:11">
      <c r="B204" s="4">
        <f>IF(LoanIsGood,IF(ROW()-ROW(PaymentSchedule[[#Headers],[PMT NO]])&gt;ScheduledNumberOfPayments,"",ROW()-ROW(PaymentSchedule[[#Headers],[PMT NO]])),"")</f>
        <v>185</v>
      </c>
      <c r="C204" s="5">
        <f>IF(PaymentSchedule[[#This Row],[PMT NO]]&lt;&gt;"",EOMONTH(LoanStartDate,ROW(PaymentSchedule[[#This Row],[PMT NO]])-ROW(PaymentSchedule[[#Headers],[PMT NO]])-2)+DAY(LoanStartDate),"")</f>
        <v>49675</v>
      </c>
      <c r="D204" s="7">
        <f>IF(PaymentSchedule[[#This Row],[PMT NO]]&lt;&gt;"",IF(ROW()-ROW(PaymentSchedule[[#Headers],[BEGINNING BALANCE]])=1,LoanAmount,INDEX([ENDING BALANCE],ROW()-ROW(PaymentSchedule[[#Headers],[BEGINNING BALANCE]])-1)),"")</f>
        <v>78233.875801549817</v>
      </c>
      <c r="E204" s="7">
        <f>IF(PaymentSchedule[[#This Row],[PMT NO]]&lt;&gt;"",ScheduledPayment,"")</f>
        <v>608.02237179106271</v>
      </c>
      <c r="F20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4" s="7">
        <f>IF(PaymentSchedule[[#This Row],[PMT NO]]&lt;&gt;"",PaymentSchedule[[#This Row],[TOTAL PAYMENT]]-PaymentSchedule[[#This Row],[INTEREST]],"")</f>
        <v>314.64533753525092</v>
      </c>
      <c r="I204" s="7">
        <f>IF(PaymentSchedule[[#This Row],[PMT NO]]&lt;&gt;"",PaymentSchedule[[#This Row],[BEGINNING BALANCE]]*(InterestRate/PaymentsPerYear),"")</f>
        <v>293.37703425581179</v>
      </c>
      <c r="J204" s="7">
        <f>IF(PaymentSchedule[[#This Row],[PMT NO]]&lt;&gt;"",IF(PaymentSchedule[[#This Row],[SCHEDULED PAYMENT]]+PaymentSchedule[[#This Row],[EXTRA PAYMENT]]&lt;=PaymentSchedule[[#This Row],[BEGINNING BALANCE]],PaymentSchedule[[#This Row],[BEGINNING BALANCE]]-PaymentSchedule[[#This Row],[PRINCIPAL]],0),"")</f>
        <v>77919.230464014559</v>
      </c>
      <c r="K204" s="7">
        <f>IF(PaymentSchedule[[#This Row],[PMT NO]]&lt;&gt;"",SUM(INDEX([INTEREST],1,1):PaymentSchedule[[#This Row],[INTEREST]]),"")</f>
        <v>70403.369245361217</v>
      </c>
    </row>
    <row r="205" spans="2:11">
      <c r="B205" s="4">
        <f>IF(LoanIsGood,IF(ROW()-ROW(PaymentSchedule[[#Headers],[PMT NO]])&gt;ScheduledNumberOfPayments,"",ROW()-ROW(PaymentSchedule[[#Headers],[PMT NO]])),"")</f>
        <v>186</v>
      </c>
      <c r="C205" s="5">
        <f>IF(PaymentSchedule[[#This Row],[PMT NO]]&lt;&gt;"",EOMONTH(LoanStartDate,ROW(PaymentSchedule[[#This Row],[PMT NO]])-ROW(PaymentSchedule[[#Headers],[PMT NO]])-2)+DAY(LoanStartDate),"")</f>
        <v>49706</v>
      </c>
      <c r="D205" s="7">
        <f>IF(PaymentSchedule[[#This Row],[PMT NO]]&lt;&gt;"",IF(ROW()-ROW(PaymentSchedule[[#Headers],[BEGINNING BALANCE]])=1,LoanAmount,INDEX([ENDING BALANCE],ROW()-ROW(PaymentSchedule[[#Headers],[BEGINNING BALANCE]])-1)),"")</f>
        <v>77919.230464014559</v>
      </c>
      <c r="E205" s="7">
        <f>IF(PaymentSchedule[[#This Row],[PMT NO]]&lt;&gt;"",ScheduledPayment,"")</f>
        <v>608.02237179106271</v>
      </c>
      <c r="F20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5" s="7">
        <f>IF(PaymentSchedule[[#This Row],[PMT NO]]&lt;&gt;"",PaymentSchedule[[#This Row],[TOTAL PAYMENT]]-PaymentSchedule[[#This Row],[INTEREST]],"")</f>
        <v>315.82525755100812</v>
      </c>
      <c r="I205" s="7">
        <f>IF(PaymentSchedule[[#This Row],[PMT NO]]&lt;&gt;"",PaymentSchedule[[#This Row],[BEGINNING BALANCE]]*(InterestRate/PaymentsPerYear),"")</f>
        <v>292.19711424005459</v>
      </c>
      <c r="J205" s="7">
        <f>IF(PaymentSchedule[[#This Row],[PMT NO]]&lt;&gt;"",IF(PaymentSchedule[[#This Row],[SCHEDULED PAYMENT]]+PaymentSchedule[[#This Row],[EXTRA PAYMENT]]&lt;=PaymentSchedule[[#This Row],[BEGINNING BALANCE]],PaymentSchedule[[#This Row],[BEGINNING BALANCE]]-PaymentSchedule[[#This Row],[PRINCIPAL]],0),"")</f>
        <v>77603.405206463547</v>
      </c>
      <c r="K205" s="7">
        <f>IF(PaymentSchedule[[#This Row],[PMT NO]]&lt;&gt;"",SUM(INDEX([INTEREST],1,1):PaymentSchedule[[#This Row],[INTEREST]]),"")</f>
        <v>70695.566359601275</v>
      </c>
    </row>
    <row r="206" spans="2:11">
      <c r="B206" s="4">
        <f>IF(LoanIsGood,IF(ROW()-ROW(PaymentSchedule[[#Headers],[PMT NO]])&gt;ScheduledNumberOfPayments,"",ROW()-ROW(PaymentSchedule[[#Headers],[PMT NO]])),"")</f>
        <v>187</v>
      </c>
      <c r="C206" s="5">
        <f>IF(PaymentSchedule[[#This Row],[PMT NO]]&lt;&gt;"",EOMONTH(LoanStartDate,ROW(PaymentSchedule[[#This Row],[PMT NO]])-ROW(PaymentSchedule[[#Headers],[PMT NO]])-2)+DAY(LoanStartDate),"")</f>
        <v>49735</v>
      </c>
      <c r="D206" s="7">
        <f>IF(PaymentSchedule[[#This Row],[PMT NO]]&lt;&gt;"",IF(ROW()-ROW(PaymentSchedule[[#Headers],[BEGINNING BALANCE]])=1,LoanAmount,INDEX([ENDING BALANCE],ROW()-ROW(PaymentSchedule[[#Headers],[BEGINNING BALANCE]])-1)),"")</f>
        <v>77603.405206463547</v>
      </c>
      <c r="E206" s="7">
        <f>IF(PaymentSchedule[[#This Row],[PMT NO]]&lt;&gt;"",ScheduledPayment,"")</f>
        <v>608.02237179106271</v>
      </c>
      <c r="F20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6" s="7">
        <f>IF(PaymentSchedule[[#This Row],[PMT NO]]&lt;&gt;"",PaymentSchedule[[#This Row],[TOTAL PAYMENT]]-PaymentSchedule[[#This Row],[INTEREST]],"")</f>
        <v>317.0096022668244</v>
      </c>
      <c r="I206" s="7">
        <f>IF(PaymentSchedule[[#This Row],[PMT NO]]&lt;&gt;"",PaymentSchedule[[#This Row],[BEGINNING BALANCE]]*(InterestRate/PaymentsPerYear),"")</f>
        <v>291.01276952423831</v>
      </c>
      <c r="J206" s="7">
        <f>IF(PaymentSchedule[[#This Row],[PMT NO]]&lt;&gt;"",IF(PaymentSchedule[[#This Row],[SCHEDULED PAYMENT]]+PaymentSchedule[[#This Row],[EXTRA PAYMENT]]&lt;=PaymentSchedule[[#This Row],[BEGINNING BALANCE]],PaymentSchedule[[#This Row],[BEGINNING BALANCE]]-PaymentSchedule[[#This Row],[PRINCIPAL]],0),"")</f>
        <v>77286.395604196718</v>
      </c>
      <c r="K206" s="7">
        <f>IF(PaymentSchedule[[#This Row],[PMT NO]]&lt;&gt;"",SUM(INDEX([INTEREST],1,1):PaymentSchedule[[#This Row],[INTEREST]]),"")</f>
        <v>70986.579129125515</v>
      </c>
    </row>
    <row r="207" spans="2:11">
      <c r="B207" s="4">
        <f>IF(LoanIsGood,IF(ROW()-ROW(PaymentSchedule[[#Headers],[PMT NO]])&gt;ScheduledNumberOfPayments,"",ROW()-ROW(PaymentSchedule[[#Headers],[PMT NO]])),"")</f>
        <v>188</v>
      </c>
      <c r="C207" s="5">
        <f>IF(PaymentSchedule[[#This Row],[PMT NO]]&lt;&gt;"",EOMONTH(LoanStartDate,ROW(PaymentSchedule[[#This Row],[PMT NO]])-ROW(PaymentSchedule[[#Headers],[PMT NO]])-2)+DAY(LoanStartDate),"")</f>
        <v>49766</v>
      </c>
      <c r="D207" s="7">
        <f>IF(PaymentSchedule[[#This Row],[PMT NO]]&lt;&gt;"",IF(ROW()-ROW(PaymentSchedule[[#Headers],[BEGINNING BALANCE]])=1,LoanAmount,INDEX([ENDING BALANCE],ROW()-ROW(PaymentSchedule[[#Headers],[BEGINNING BALANCE]])-1)),"")</f>
        <v>77286.395604196718</v>
      </c>
      <c r="E207" s="7">
        <f>IF(PaymentSchedule[[#This Row],[PMT NO]]&lt;&gt;"",ScheduledPayment,"")</f>
        <v>608.02237179106271</v>
      </c>
      <c r="F20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7" s="7">
        <f>IF(PaymentSchedule[[#This Row],[PMT NO]]&lt;&gt;"",PaymentSchedule[[#This Row],[TOTAL PAYMENT]]-PaymentSchedule[[#This Row],[INTEREST]],"")</f>
        <v>318.19838827532504</v>
      </c>
      <c r="I207" s="7">
        <f>IF(PaymentSchedule[[#This Row],[PMT NO]]&lt;&gt;"",PaymentSchedule[[#This Row],[BEGINNING BALANCE]]*(InterestRate/PaymentsPerYear),"")</f>
        <v>289.82398351573767</v>
      </c>
      <c r="J207" s="7">
        <f>IF(PaymentSchedule[[#This Row],[PMT NO]]&lt;&gt;"",IF(PaymentSchedule[[#This Row],[SCHEDULED PAYMENT]]+PaymentSchedule[[#This Row],[EXTRA PAYMENT]]&lt;=PaymentSchedule[[#This Row],[BEGINNING BALANCE]],PaymentSchedule[[#This Row],[BEGINNING BALANCE]]-PaymentSchedule[[#This Row],[PRINCIPAL]],0),"")</f>
        <v>76968.197215921391</v>
      </c>
      <c r="K207" s="7">
        <f>IF(PaymentSchedule[[#This Row],[PMT NO]]&lt;&gt;"",SUM(INDEX([INTEREST],1,1):PaymentSchedule[[#This Row],[INTEREST]]),"")</f>
        <v>71276.403112641259</v>
      </c>
    </row>
    <row r="208" spans="2:11">
      <c r="B208" s="4">
        <f>IF(LoanIsGood,IF(ROW()-ROW(PaymentSchedule[[#Headers],[PMT NO]])&gt;ScheduledNumberOfPayments,"",ROW()-ROW(PaymentSchedule[[#Headers],[PMT NO]])),"")</f>
        <v>189</v>
      </c>
      <c r="C208" s="5">
        <f>IF(PaymentSchedule[[#This Row],[PMT NO]]&lt;&gt;"",EOMONTH(LoanStartDate,ROW(PaymentSchedule[[#This Row],[PMT NO]])-ROW(PaymentSchedule[[#Headers],[PMT NO]])-2)+DAY(LoanStartDate),"")</f>
        <v>49796</v>
      </c>
      <c r="D208" s="7">
        <f>IF(PaymentSchedule[[#This Row],[PMT NO]]&lt;&gt;"",IF(ROW()-ROW(PaymentSchedule[[#Headers],[BEGINNING BALANCE]])=1,LoanAmount,INDEX([ENDING BALANCE],ROW()-ROW(PaymentSchedule[[#Headers],[BEGINNING BALANCE]])-1)),"")</f>
        <v>76968.197215921391</v>
      </c>
      <c r="E208" s="7">
        <f>IF(PaymentSchedule[[#This Row],[PMT NO]]&lt;&gt;"",ScheduledPayment,"")</f>
        <v>608.02237179106271</v>
      </c>
      <c r="F20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8" s="7">
        <f>IF(PaymentSchedule[[#This Row],[PMT NO]]&lt;&gt;"",PaymentSchedule[[#This Row],[TOTAL PAYMENT]]-PaymentSchedule[[#This Row],[INTEREST]],"")</f>
        <v>319.39163223135751</v>
      </c>
      <c r="I208" s="7">
        <f>IF(PaymentSchedule[[#This Row],[PMT NO]]&lt;&gt;"",PaymentSchedule[[#This Row],[BEGINNING BALANCE]]*(InterestRate/PaymentsPerYear),"")</f>
        <v>288.63073955970521</v>
      </c>
      <c r="J208" s="7">
        <f>IF(PaymentSchedule[[#This Row],[PMT NO]]&lt;&gt;"",IF(PaymentSchedule[[#This Row],[SCHEDULED PAYMENT]]+PaymentSchedule[[#This Row],[EXTRA PAYMENT]]&lt;=PaymentSchedule[[#This Row],[BEGINNING BALANCE]],PaymentSchedule[[#This Row],[BEGINNING BALANCE]]-PaymentSchedule[[#This Row],[PRINCIPAL]],0),"")</f>
        <v>76648.805583690031</v>
      </c>
      <c r="K208" s="7">
        <f>IF(PaymentSchedule[[#This Row],[PMT NO]]&lt;&gt;"",SUM(INDEX([INTEREST],1,1):PaymentSchedule[[#This Row],[INTEREST]]),"")</f>
        <v>71565.03385220097</v>
      </c>
    </row>
    <row r="209" spans="2:11">
      <c r="B209" s="4">
        <f>IF(LoanIsGood,IF(ROW()-ROW(PaymentSchedule[[#Headers],[PMT NO]])&gt;ScheduledNumberOfPayments,"",ROW()-ROW(PaymentSchedule[[#Headers],[PMT NO]])),"")</f>
        <v>190</v>
      </c>
      <c r="C209" s="5">
        <f>IF(PaymentSchedule[[#This Row],[PMT NO]]&lt;&gt;"",EOMONTH(LoanStartDate,ROW(PaymentSchedule[[#This Row],[PMT NO]])-ROW(PaymentSchedule[[#Headers],[PMT NO]])-2)+DAY(LoanStartDate),"")</f>
        <v>49827</v>
      </c>
      <c r="D209" s="7">
        <f>IF(PaymentSchedule[[#This Row],[PMT NO]]&lt;&gt;"",IF(ROW()-ROW(PaymentSchedule[[#Headers],[BEGINNING BALANCE]])=1,LoanAmount,INDEX([ENDING BALANCE],ROW()-ROW(PaymentSchedule[[#Headers],[BEGINNING BALANCE]])-1)),"")</f>
        <v>76648.805583690031</v>
      </c>
      <c r="E209" s="7">
        <f>IF(PaymentSchedule[[#This Row],[PMT NO]]&lt;&gt;"",ScheduledPayment,"")</f>
        <v>608.02237179106271</v>
      </c>
      <c r="F20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0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09" s="7">
        <f>IF(PaymentSchedule[[#This Row],[PMT NO]]&lt;&gt;"",PaymentSchedule[[#This Row],[TOTAL PAYMENT]]-PaymentSchedule[[#This Row],[INTEREST]],"")</f>
        <v>320.5893508522251</v>
      </c>
      <c r="I209" s="7">
        <f>IF(PaymentSchedule[[#This Row],[PMT NO]]&lt;&gt;"",PaymentSchedule[[#This Row],[BEGINNING BALANCE]]*(InterestRate/PaymentsPerYear),"")</f>
        <v>287.43302093883761</v>
      </c>
      <c r="J209" s="7">
        <f>IF(PaymentSchedule[[#This Row],[PMT NO]]&lt;&gt;"",IF(PaymentSchedule[[#This Row],[SCHEDULED PAYMENT]]+PaymentSchedule[[#This Row],[EXTRA PAYMENT]]&lt;=PaymentSchedule[[#This Row],[BEGINNING BALANCE]],PaymentSchedule[[#This Row],[BEGINNING BALANCE]]-PaymentSchedule[[#This Row],[PRINCIPAL]],0),"")</f>
        <v>76328.216232837804</v>
      </c>
      <c r="K209" s="7">
        <f>IF(PaymentSchedule[[#This Row],[PMT NO]]&lt;&gt;"",SUM(INDEX([INTEREST],1,1):PaymentSchedule[[#This Row],[INTEREST]]),"")</f>
        <v>71852.466873139812</v>
      </c>
    </row>
    <row r="210" spans="2:11">
      <c r="B210" s="4">
        <f>IF(LoanIsGood,IF(ROW()-ROW(PaymentSchedule[[#Headers],[PMT NO]])&gt;ScheduledNumberOfPayments,"",ROW()-ROW(PaymentSchedule[[#Headers],[PMT NO]])),"")</f>
        <v>191</v>
      </c>
      <c r="C210" s="5">
        <f>IF(PaymentSchedule[[#This Row],[PMT NO]]&lt;&gt;"",EOMONTH(LoanStartDate,ROW(PaymentSchedule[[#This Row],[PMT NO]])-ROW(PaymentSchedule[[#Headers],[PMT NO]])-2)+DAY(LoanStartDate),"")</f>
        <v>49857</v>
      </c>
      <c r="D210" s="7">
        <f>IF(PaymentSchedule[[#This Row],[PMT NO]]&lt;&gt;"",IF(ROW()-ROW(PaymentSchedule[[#Headers],[BEGINNING BALANCE]])=1,LoanAmount,INDEX([ENDING BALANCE],ROW()-ROW(PaymentSchedule[[#Headers],[BEGINNING BALANCE]])-1)),"")</f>
        <v>76328.216232837804</v>
      </c>
      <c r="E210" s="7">
        <f>IF(PaymentSchedule[[#This Row],[PMT NO]]&lt;&gt;"",ScheduledPayment,"")</f>
        <v>608.02237179106271</v>
      </c>
      <c r="F21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0" s="7">
        <f>IF(PaymentSchedule[[#This Row],[PMT NO]]&lt;&gt;"",PaymentSchedule[[#This Row],[TOTAL PAYMENT]]-PaymentSchedule[[#This Row],[INTEREST]],"")</f>
        <v>321.79156091792095</v>
      </c>
      <c r="I210" s="7">
        <f>IF(PaymentSchedule[[#This Row],[PMT NO]]&lt;&gt;"",PaymentSchedule[[#This Row],[BEGINNING BALANCE]]*(InterestRate/PaymentsPerYear),"")</f>
        <v>286.23081087314176</v>
      </c>
      <c r="J210" s="7">
        <f>IF(PaymentSchedule[[#This Row],[PMT NO]]&lt;&gt;"",IF(PaymentSchedule[[#This Row],[SCHEDULED PAYMENT]]+PaymentSchedule[[#This Row],[EXTRA PAYMENT]]&lt;=PaymentSchedule[[#This Row],[BEGINNING BALANCE]],PaymentSchedule[[#This Row],[BEGINNING BALANCE]]-PaymentSchedule[[#This Row],[PRINCIPAL]],0),"")</f>
        <v>76006.424671919885</v>
      </c>
      <c r="K210" s="7">
        <f>IF(PaymentSchedule[[#This Row],[PMT NO]]&lt;&gt;"",SUM(INDEX([INTEREST],1,1):PaymentSchedule[[#This Row],[INTEREST]]),"")</f>
        <v>72138.69768401295</v>
      </c>
    </row>
    <row r="211" spans="2:11">
      <c r="B211" s="4">
        <f>IF(LoanIsGood,IF(ROW()-ROW(PaymentSchedule[[#Headers],[PMT NO]])&gt;ScheduledNumberOfPayments,"",ROW()-ROW(PaymentSchedule[[#Headers],[PMT NO]])),"")</f>
        <v>192</v>
      </c>
      <c r="C211" s="5">
        <f>IF(PaymentSchedule[[#This Row],[PMT NO]]&lt;&gt;"",EOMONTH(LoanStartDate,ROW(PaymentSchedule[[#This Row],[PMT NO]])-ROW(PaymentSchedule[[#Headers],[PMT NO]])-2)+DAY(LoanStartDate),"")</f>
        <v>49888</v>
      </c>
      <c r="D211" s="7">
        <f>IF(PaymentSchedule[[#This Row],[PMT NO]]&lt;&gt;"",IF(ROW()-ROW(PaymentSchedule[[#Headers],[BEGINNING BALANCE]])=1,LoanAmount,INDEX([ENDING BALANCE],ROW()-ROW(PaymentSchedule[[#Headers],[BEGINNING BALANCE]])-1)),"")</f>
        <v>76006.424671919885</v>
      </c>
      <c r="E211" s="7">
        <f>IF(PaymentSchedule[[#This Row],[PMT NO]]&lt;&gt;"",ScheduledPayment,"")</f>
        <v>608.02237179106271</v>
      </c>
      <c r="F21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1" s="7">
        <f>IF(PaymentSchedule[[#This Row],[PMT NO]]&lt;&gt;"",PaymentSchedule[[#This Row],[TOTAL PAYMENT]]-PaymentSchedule[[#This Row],[INTEREST]],"")</f>
        <v>322.99827927136317</v>
      </c>
      <c r="I211" s="7">
        <f>IF(PaymentSchedule[[#This Row],[PMT NO]]&lt;&gt;"",PaymentSchedule[[#This Row],[BEGINNING BALANCE]]*(InterestRate/PaymentsPerYear),"")</f>
        <v>285.02409251969954</v>
      </c>
      <c r="J211" s="7">
        <f>IF(PaymentSchedule[[#This Row],[PMT NO]]&lt;&gt;"",IF(PaymentSchedule[[#This Row],[SCHEDULED PAYMENT]]+PaymentSchedule[[#This Row],[EXTRA PAYMENT]]&lt;=PaymentSchedule[[#This Row],[BEGINNING BALANCE]],PaymentSchedule[[#This Row],[BEGINNING BALANCE]]-PaymentSchedule[[#This Row],[PRINCIPAL]],0),"")</f>
        <v>75683.426392648529</v>
      </c>
      <c r="K211" s="7">
        <f>IF(PaymentSchedule[[#This Row],[PMT NO]]&lt;&gt;"",SUM(INDEX([INTEREST],1,1):PaymentSchedule[[#This Row],[INTEREST]]),"")</f>
        <v>72423.72177653265</v>
      </c>
    </row>
    <row r="212" spans="2:11">
      <c r="B212" s="4">
        <f>IF(LoanIsGood,IF(ROW()-ROW(PaymentSchedule[[#Headers],[PMT NO]])&gt;ScheduledNumberOfPayments,"",ROW()-ROW(PaymentSchedule[[#Headers],[PMT NO]])),"")</f>
        <v>193</v>
      </c>
      <c r="C212" s="5">
        <f>IF(PaymentSchedule[[#This Row],[PMT NO]]&lt;&gt;"",EOMONTH(LoanStartDate,ROW(PaymentSchedule[[#This Row],[PMT NO]])-ROW(PaymentSchedule[[#Headers],[PMT NO]])-2)+DAY(LoanStartDate),"")</f>
        <v>49919</v>
      </c>
      <c r="D212" s="7">
        <f>IF(PaymentSchedule[[#This Row],[PMT NO]]&lt;&gt;"",IF(ROW()-ROW(PaymentSchedule[[#Headers],[BEGINNING BALANCE]])=1,LoanAmount,INDEX([ENDING BALANCE],ROW()-ROW(PaymentSchedule[[#Headers],[BEGINNING BALANCE]])-1)),"")</f>
        <v>75683.426392648529</v>
      </c>
      <c r="E212" s="7">
        <f>IF(PaymentSchedule[[#This Row],[PMT NO]]&lt;&gt;"",ScheduledPayment,"")</f>
        <v>608.02237179106271</v>
      </c>
      <c r="F21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2" s="7">
        <f>IF(PaymentSchedule[[#This Row],[PMT NO]]&lt;&gt;"",PaymentSchedule[[#This Row],[TOTAL PAYMENT]]-PaymentSchedule[[#This Row],[INTEREST]],"")</f>
        <v>324.20952281863072</v>
      </c>
      <c r="I212" s="7">
        <f>IF(PaymentSchedule[[#This Row],[PMT NO]]&lt;&gt;"",PaymentSchedule[[#This Row],[BEGINNING BALANCE]]*(InterestRate/PaymentsPerYear),"")</f>
        <v>283.81284897243199</v>
      </c>
      <c r="J212" s="7">
        <f>IF(PaymentSchedule[[#This Row],[PMT NO]]&lt;&gt;"",IF(PaymentSchedule[[#This Row],[SCHEDULED PAYMENT]]+PaymentSchedule[[#This Row],[EXTRA PAYMENT]]&lt;=PaymentSchedule[[#This Row],[BEGINNING BALANCE]],PaymentSchedule[[#This Row],[BEGINNING BALANCE]]-PaymentSchedule[[#This Row],[PRINCIPAL]],0),"")</f>
        <v>75359.216869829892</v>
      </c>
      <c r="K212" s="7">
        <f>IF(PaymentSchedule[[#This Row],[PMT NO]]&lt;&gt;"",SUM(INDEX([INTEREST],1,1):PaymentSchedule[[#This Row],[INTEREST]]),"")</f>
        <v>72707.534625505083</v>
      </c>
    </row>
    <row r="213" spans="2:11">
      <c r="B213" s="4">
        <f>IF(LoanIsGood,IF(ROW()-ROW(PaymentSchedule[[#Headers],[PMT NO]])&gt;ScheduledNumberOfPayments,"",ROW()-ROW(PaymentSchedule[[#Headers],[PMT NO]])),"")</f>
        <v>194</v>
      </c>
      <c r="C213" s="5">
        <f>IF(PaymentSchedule[[#This Row],[PMT NO]]&lt;&gt;"",EOMONTH(LoanStartDate,ROW(PaymentSchedule[[#This Row],[PMT NO]])-ROW(PaymentSchedule[[#Headers],[PMT NO]])-2)+DAY(LoanStartDate),"")</f>
        <v>49949</v>
      </c>
      <c r="D213" s="7">
        <f>IF(PaymentSchedule[[#This Row],[PMT NO]]&lt;&gt;"",IF(ROW()-ROW(PaymentSchedule[[#Headers],[BEGINNING BALANCE]])=1,LoanAmount,INDEX([ENDING BALANCE],ROW()-ROW(PaymentSchedule[[#Headers],[BEGINNING BALANCE]])-1)),"")</f>
        <v>75359.216869829892</v>
      </c>
      <c r="E213" s="7">
        <f>IF(PaymentSchedule[[#This Row],[PMT NO]]&lt;&gt;"",ScheduledPayment,"")</f>
        <v>608.02237179106271</v>
      </c>
      <c r="F21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3" s="7">
        <f>IF(PaymentSchedule[[#This Row],[PMT NO]]&lt;&gt;"",PaymentSchedule[[#This Row],[TOTAL PAYMENT]]-PaymentSchedule[[#This Row],[INTEREST]],"")</f>
        <v>325.42530852920061</v>
      </c>
      <c r="I213" s="7">
        <f>IF(PaymentSchedule[[#This Row],[PMT NO]]&lt;&gt;"",PaymentSchedule[[#This Row],[BEGINNING BALANCE]]*(InterestRate/PaymentsPerYear),"")</f>
        <v>282.5970632618621</v>
      </c>
      <c r="J213" s="7">
        <f>IF(PaymentSchedule[[#This Row],[PMT NO]]&lt;&gt;"",IF(PaymentSchedule[[#This Row],[SCHEDULED PAYMENT]]+PaymentSchedule[[#This Row],[EXTRA PAYMENT]]&lt;=PaymentSchedule[[#This Row],[BEGINNING BALANCE]],PaymentSchedule[[#This Row],[BEGINNING BALANCE]]-PaymentSchedule[[#This Row],[PRINCIPAL]],0),"")</f>
        <v>75033.791561300692</v>
      </c>
      <c r="K213" s="7">
        <f>IF(PaymentSchedule[[#This Row],[PMT NO]]&lt;&gt;"",SUM(INDEX([INTEREST],1,1):PaymentSchedule[[#This Row],[INTEREST]]),"")</f>
        <v>72990.131688766938</v>
      </c>
    </row>
    <row r="214" spans="2:11">
      <c r="B214" s="4">
        <f>IF(LoanIsGood,IF(ROW()-ROW(PaymentSchedule[[#Headers],[PMT NO]])&gt;ScheduledNumberOfPayments,"",ROW()-ROW(PaymentSchedule[[#Headers],[PMT NO]])),"")</f>
        <v>195</v>
      </c>
      <c r="C214" s="5">
        <f>IF(PaymentSchedule[[#This Row],[PMT NO]]&lt;&gt;"",EOMONTH(LoanStartDate,ROW(PaymentSchedule[[#This Row],[PMT NO]])-ROW(PaymentSchedule[[#Headers],[PMT NO]])-2)+DAY(LoanStartDate),"")</f>
        <v>49980</v>
      </c>
      <c r="D214" s="7">
        <f>IF(PaymentSchedule[[#This Row],[PMT NO]]&lt;&gt;"",IF(ROW()-ROW(PaymentSchedule[[#Headers],[BEGINNING BALANCE]])=1,LoanAmount,INDEX([ENDING BALANCE],ROW()-ROW(PaymentSchedule[[#Headers],[BEGINNING BALANCE]])-1)),"")</f>
        <v>75033.791561300692</v>
      </c>
      <c r="E214" s="7">
        <f>IF(PaymentSchedule[[#This Row],[PMT NO]]&lt;&gt;"",ScheduledPayment,"")</f>
        <v>608.02237179106271</v>
      </c>
      <c r="F21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4" s="7">
        <f>IF(PaymentSchedule[[#This Row],[PMT NO]]&lt;&gt;"",PaymentSchedule[[#This Row],[TOTAL PAYMENT]]-PaymentSchedule[[#This Row],[INTEREST]],"")</f>
        <v>326.64565343618511</v>
      </c>
      <c r="I214" s="7">
        <f>IF(PaymentSchedule[[#This Row],[PMT NO]]&lt;&gt;"",PaymentSchedule[[#This Row],[BEGINNING BALANCE]]*(InterestRate/PaymentsPerYear),"")</f>
        <v>281.3767183548776</v>
      </c>
      <c r="J214" s="7">
        <f>IF(PaymentSchedule[[#This Row],[PMT NO]]&lt;&gt;"",IF(PaymentSchedule[[#This Row],[SCHEDULED PAYMENT]]+PaymentSchedule[[#This Row],[EXTRA PAYMENT]]&lt;=PaymentSchedule[[#This Row],[BEGINNING BALANCE]],PaymentSchedule[[#This Row],[BEGINNING BALANCE]]-PaymentSchedule[[#This Row],[PRINCIPAL]],0),"")</f>
        <v>74707.145907864513</v>
      </c>
      <c r="K214" s="7">
        <f>IF(PaymentSchedule[[#This Row],[PMT NO]]&lt;&gt;"",SUM(INDEX([INTEREST],1,1):PaymentSchedule[[#This Row],[INTEREST]]),"")</f>
        <v>73271.508407121815</v>
      </c>
    </row>
    <row r="215" spans="2:11">
      <c r="B215" s="4">
        <f>IF(LoanIsGood,IF(ROW()-ROW(PaymentSchedule[[#Headers],[PMT NO]])&gt;ScheduledNumberOfPayments,"",ROW()-ROW(PaymentSchedule[[#Headers],[PMT NO]])),"")</f>
        <v>196</v>
      </c>
      <c r="C215" s="5">
        <f>IF(PaymentSchedule[[#This Row],[PMT NO]]&lt;&gt;"",EOMONTH(LoanStartDate,ROW(PaymentSchedule[[#This Row],[PMT NO]])-ROW(PaymentSchedule[[#Headers],[PMT NO]])-2)+DAY(LoanStartDate),"")</f>
        <v>50010</v>
      </c>
      <c r="D215" s="7">
        <f>IF(PaymentSchedule[[#This Row],[PMT NO]]&lt;&gt;"",IF(ROW()-ROW(PaymentSchedule[[#Headers],[BEGINNING BALANCE]])=1,LoanAmount,INDEX([ENDING BALANCE],ROW()-ROW(PaymentSchedule[[#Headers],[BEGINNING BALANCE]])-1)),"")</f>
        <v>74707.145907864513</v>
      </c>
      <c r="E215" s="7">
        <f>IF(PaymentSchedule[[#This Row],[PMT NO]]&lt;&gt;"",ScheduledPayment,"")</f>
        <v>608.02237179106271</v>
      </c>
      <c r="F21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5" s="7">
        <f>IF(PaymentSchedule[[#This Row],[PMT NO]]&lt;&gt;"",PaymentSchedule[[#This Row],[TOTAL PAYMENT]]-PaymentSchedule[[#This Row],[INTEREST]],"")</f>
        <v>327.87057463657078</v>
      </c>
      <c r="I215" s="7">
        <f>IF(PaymentSchedule[[#This Row],[PMT NO]]&lt;&gt;"",PaymentSchedule[[#This Row],[BEGINNING BALANCE]]*(InterestRate/PaymentsPerYear),"")</f>
        <v>280.15179715449193</v>
      </c>
      <c r="J215" s="7">
        <f>IF(PaymentSchedule[[#This Row],[PMT NO]]&lt;&gt;"",IF(PaymentSchedule[[#This Row],[SCHEDULED PAYMENT]]+PaymentSchedule[[#This Row],[EXTRA PAYMENT]]&lt;=PaymentSchedule[[#This Row],[BEGINNING BALANCE]],PaymentSchedule[[#This Row],[BEGINNING BALANCE]]-PaymentSchedule[[#This Row],[PRINCIPAL]],0),"")</f>
        <v>74379.275333227939</v>
      </c>
      <c r="K215" s="7">
        <f>IF(PaymentSchedule[[#This Row],[PMT NO]]&lt;&gt;"",SUM(INDEX([INTEREST],1,1):PaymentSchedule[[#This Row],[INTEREST]]),"")</f>
        <v>73551.660204276312</v>
      </c>
    </row>
    <row r="216" spans="2:11">
      <c r="B216" s="4">
        <f>IF(LoanIsGood,IF(ROW()-ROW(PaymentSchedule[[#Headers],[PMT NO]])&gt;ScheduledNumberOfPayments,"",ROW()-ROW(PaymentSchedule[[#Headers],[PMT NO]])),"")</f>
        <v>197</v>
      </c>
      <c r="C216" s="5">
        <f>IF(PaymentSchedule[[#This Row],[PMT NO]]&lt;&gt;"",EOMONTH(LoanStartDate,ROW(PaymentSchedule[[#This Row],[PMT NO]])-ROW(PaymentSchedule[[#Headers],[PMT NO]])-2)+DAY(LoanStartDate),"")</f>
        <v>50041</v>
      </c>
      <c r="D216" s="7">
        <f>IF(PaymentSchedule[[#This Row],[PMT NO]]&lt;&gt;"",IF(ROW()-ROW(PaymentSchedule[[#Headers],[BEGINNING BALANCE]])=1,LoanAmount,INDEX([ENDING BALANCE],ROW()-ROW(PaymentSchedule[[#Headers],[BEGINNING BALANCE]])-1)),"")</f>
        <v>74379.275333227939</v>
      </c>
      <c r="E216" s="7">
        <f>IF(PaymentSchedule[[#This Row],[PMT NO]]&lt;&gt;"",ScheduledPayment,"")</f>
        <v>608.02237179106271</v>
      </c>
      <c r="F21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6" s="7">
        <f>IF(PaymentSchedule[[#This Row],[PMT NO]]&lt;&gt;"",PaymentSchedule[[#This Row],[TOTAL PAYMENT]]-PaymentSchedule[[#This Row],[INTEREST]],"")</f>
        <v>329.10008929145795</v>
      </c>
      <c r="I216" s="7">
        <f>IF(PaymentSchedule[[#This Row],[PMT NO]]&lt;&gt;"",PaymentSchedule[[#This Row],[BEGINNING BALANCE]]*(InterestRate/PaymentsPerYear),"")</f>
        <v>278.92228249960476</v>
      </c>
      <c r="J216" s="7">
        <f>IF(PaymentSchedule[[#This Row],[PMT NO]]&lt;&gt;"",IF(PaymentSchedule[[#This Row],[SCHEDULED PAYMENT]]+PaymentSchedule[[#This Row],[EXTRA PAYMENT]]&lt;=PaymentSchedule[[#This Row],[BEGINNING BALANCE]],PaymentSchedule[[#This Row],[BEGINNING BALANCE]]-PaymentSchedule[[#This Row],[PRINCIPAL]],0),"")</f>
        <v>74050.175243936479</v>
      </c>
      <c r="K216" s="7">
        <f>IF(PaymentSchedule[[#This Row],[PMT NO]]&lt;&gt;"",SUM(INDEX([INTEREST],1,1):PaymentSchedule[[#This Row],[INTEREST]]),"")</f>
        <v>73830.582486775922</v>
      </c>
    </row>
    <row r="217" spans="2:11">
      <c r="B217" s="4">
        <f>IF(LoanIsGood,IF(ROW()-ROW(PaymentSchedule[[#Headers],[PMT NO]])&gt;ScheduledNumberOfPayments,"",ROW()-ROW(PaymentSchedule[[#Headers],[PMT NO]])),"")</f>
        <v>198</v>
      </c>
      <c r="C217" s="5">
        <f>IF(PaymentSchedule[[#This Row],[PMT NO]]&lt;&gt;"",EOMONTH(LoanStartDate,ROW(PaymentSchedule[[#This Row],[PMT NO]])-ROW(PaymentSchedule[[#Headers],[PMT NO]])-2)+DAY(LoanStartDate),"")</f>
        <v>50072</v>
      </c>
      <c r="D217" s="7">
        <f>IF(PaymentSchedule[[#This Row],[PMT NO]]&lt;&gt;"",IF(ROW()-ROW(PaymentSchedule[[#Headers],[BEGINNING BALANCE]])=1,LoanAmount,INDEX([ENDING BALANCE],ROW()-ROW(PaymentSchedule[[#Headers],[BEGINNING BALANCE]])-1)),"")</f>
        <v>74050.175243936479</v>
      </c>
      <c r="E217" s="7">
        <f>IF(PaymentSchedule[[#This Row],[PMT NO]]&lt;&gt;"",ScheduledPayment,"")</f>
        <v>608.02237179106271</v>
      </c>
      <c r="F21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7" s="7">
        <f>IF(PaymentSchedule[[#This Row],[PMT NO]]&lt;&gt;"",PaymentSchedule[[#This Row],[TOTAL PAYMENT]]-PaymentSchedule[[#This Row],[INTEREST]],"")</f>
        <v>330.33421462630093</v>
      </c>
      <c r="I217" s="7">
        <f>IF(PaymentSchedule[[#This Row],[PMT NO]]&lt;&gt;"",PaymentSchedule[[#This Row],[BEGINNING BALANCE]]*(InterestRate/PaymentsPerYear),"")</f>
        <v>277.68815716476178</v>
      </c>
      <c r="J217" s="7">
        <f>IF(PaymentSchedule[[#This Row],[PMT NO]]&lt;&gt;"",IF(PaymentSchedule[[#This Row],[SCHEDULED PAYMENT]]+PaymentSchedule[[#This Row],[EXTRA PAYMENT]]&lt;=PaymentSchedule[[#This Row],[BEGINNING BALANCE]],PaymentSchedule[[#This Row],[BEGINNING BALANCE]]-PaymentSchedule[[#This Row],[PRINCIPAL]],0),"")</f>
        <v>73719.841029310177</v>
      </c>
      <c r="K217" s="7">
        <f>IF(PaymentSchedule[[#This Row],[PMT NO]]&lt;&gt;"",SUM(INDEX([INTEREST],1,1):PaymentSchedule[[#This Row],[INTEREST]]),"")</f>
        <v>74108.27064394069</v>
      </c>
    </row>
    <row r="218" spans="2:11">
      <c r="B218" s="4">
        <f>IF(LoanIsGood,IF(ROW()-ROW(PaymentSchedule[[#Headers],[PMT NO]])&gt;ScheduledNumberOfPayments,"",ROW()-ROW(PaymentSchedule[[#Headers],[PMT NO]])),"")</f>
        <v>199</v>
      </c>
      <c r="C218" s="5">
        <f>IF(PaymentSchedule[[#This Row],[PMT NO]]&lt;&gt;"",EOMONTH(LoanStartDate,ROW(PaymentSchedule[[#This Row],[PMT NO]])-ROW(PaymentSchedule[[#Headers],[PMT NO]])-2)+DAY(LoanStartDate),"")</f>
        <v>50100</v>
      </c>
      <c r="D218" s="7">
        <f>IF(PaymentSchedule[[#This Row],[PMT NO]]&lt;&gt;"",IF(ROW()-ROW(PaymentSchedule[[#Headers],[BEGINNING BALANCE]])=1,LoanAmount,INDEX([ENDING BALANCE],ROW()-ROW(PaymentSchedule[[#Headers],[BEGINNING BALANCE]])-1)),"")</f>
        <v>73719.841029310177</v>
      </c>
      <c r="E218" s="7">
        <f>IF(PaymentSchedule[[#This Row],[PMT NO]]&lt;&gt;"",ScheduledPayment,"")</f>
        <v>608.02237179106271</v>
      </c>
      <c r="F21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8" s="7">
        <f>IF(PaymentSchedule[[#This Row],[PMT NO]]&lt;&gt;"",PaymentSchedule[[#This Row],[TOTAL PAYMENT]]-PaymentSchedule[[#This Row],[INTEREST]],"")</f>
        <v>331.57296793114955</v>
      </c>
      <c r="I218" s="7">
        <f>IF(PaymentSchedule[[#This Row],[PMT NO]]&lt;&gt;"",PaymentSchedule[[#This Row],[BEGINNING BALANCE]]*(InterestRate/PaymentsPerYear),"")</f>
        <v>276.44940385991316</v>
      </c>
      <c r="J218" s="7">
        <f>IF(PaymentSchedule[[#This Row],[PMT NO]]&lt;&gt;"",IF(PaymentSchedule[[#This Row],[SCHEDULED PAYMENT]]+PaymentSchedule[[#This Row],[EXTRA PAYMENT]]&lt;=PaymentSchedule[[#This Row],[BEGINNING BALANCE]],PaymentSchedule[[#This Row],[BEGINNING BALANCE]]-PaymentSchedule[[#This Row],[PRINCIPAL]],0),"")</f>
        <v>73388.268061379029</v>
      </c>
      <c r="K218" s="7">
        <f>IF(PaymentSchedule[[#This Row],[PMT NO]]&lt;&gt;"",SUM(INDEX([INTEREST],1,1):PaymentSchedule[[#This Row],[INTEREST]]),"")</f>
        <v>74384.720047800598</v>
      </c>
    </row>
    <row r="219" spans="2:11">
      <c r="B219" s="4">
        <f>IF(LoanIsGood,IF(ROW()-ROW(PaymentSchedule[[#Headers],[PMT NO]])&gt;ScheduledNumberOfPayments,"",ROW()-ROW(PaymentSchedule[[#Headers],[PMT NO]])),"")</f>
        <v>200</v>
      </c>
      <c r="C219" s="5">
        <f>IF(PaymentSchedule[[#This Row],[PMT NO]]&lt;&gt;"",EOMONTH(LoanStartDate,ROW(PaymentSchedule[[#This Row],[PMT NO]])-ROW(PaymentSchedule[[#Headers],[PMT NO]])-2)+DAY(LoanStartDate),"")</f>
        <v>50131</v>
      </c>
      <c r="D219" s="7">
        <f>IF(PaymentSchedule[[#This Row],[PMT NO]]&lt;&gt;"",IF(ROW()-ROW(PaymentSchedule[[#Headers],[BEGINNING BALANCE]])=1,LoanAmount,INDEX([ENDING BALANCE],ROW()-ROW(PaymentSchedule[[#Headers],[BEGINNING BALANCE]])-1)),"")</f>
        <v>73388.268061379029</v>
      </c>
      <c r="E219" s="7">
        <f>IF(PaymentSchedule[[#This Row],[PMT NO]]&lt;&gt;"",ScheduledPayment,"")</f>
        <v>608.02237179106271</v>
      </c>
      <c r="F21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1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19" s="7">
        <f>IF(PaymentSchedule[[#This Row],[PMT NO]]&lt;&gt;"",PaymentSchedule[[#This Row],[TOTAL PAYMENT]]-PaymentSchedule[[#This Row],[INTEREST]],"")</f>
        <v>332.81636656089137</v>
      </c>
      <c r="I219" s="7">
        <f>IF(PaymentSchedule[[#This Row],[PMT NO]]&lt;&gt;"",PaymentSchedule[[#This Row],[BEGINNING BALANCE]]*(InterestRate/PaymentsPerYear),"")</f>
        <v>275.20600523017134</v>
      </c>
      <c r="J219" s="7">
        <f>IF(PaymentSchedule[[#This Row],[PMT NO]]&lt;&gt;"",IF(PaymentSchedule[[#This Row],[SCHEDULED PAYMENT]]+PaymentSchedule[[#This Row],[EXTRA PAYMENT]]&lt;=PaymentSchedule[[#This Row],[BEGINNING BALANCE]],PaymentSchedule[[#This Row],[BEGINNING BALANCE]]-PaymentSchedule[[#This Row],[PRINCIPAL]],0),"")</f>
        <v>73055.451694818141</v>
      </c>
      <c r="K219" s="7">
        <f>IF(PaymentSchedule[[#This Row],[PMT NO]]&lt;&gt;"",SUM(INDEX([INTEREST],1,1):PaymentSchedule[[#This Row],[INTEREST]]),"")</f>
        <v>74659.926053030766</v>
      </c>
    </row>
    <row r="220" spans="2:11">
      <c r="B220" s="4">
        <f>IF(LoanIsGood,IF(ROW()-ROW(PaymentSchedule[[#Headers],[PMT NO]])&gt;ScheduledNumberOfPayments,"",ROW()-ROW(PaymentSchedule[[#Headers],[PMT NO]])),"")</f>
        <v>201</v>
      </c>
      <c r="C220" s="5">
        <f>IF(PaymentSchedule[[#This Row],[PMT NO]]&lt;&gt;"",EOMONTH(LoanStartDate,ROW(PaymentSchedule[[#This Row],[PMT NO]])-ROW(PaymentSchedule[[#Headers],[PMT NO]])-2)+DAY(LoanStartDate),"")</f>
        <v>50161</v>
      </c>
      <c r="D220" s="7">
        <f>IF(PaymentSchedule[[#This Row],[PMT NO]]&lt;&gt;"",IF(ROW()-ROW(PaymentSchedule[[#Headers],[BEGINNING BALANCE]])=1,LoanAmount,INDEX([ENDING BALANCE],ROW()-ROW(PaymentSchedule[[#Headers],[BEGINNING BALANCE]])-1)),"")</f>
        <v>73055.451694818141</v>
      </c>
      <c r="E220" s="7">
        <f>IF(PaymentSchedule[[#This Row],[PMT NO]]&lt;&gt;"",ScheduledPayment,"")</f>
        <v>608.02237179106271</v>
      </c>
      <c r="F22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0" s="7">
        <f>IF(PaymentSchedule[[#This Row],[PMT NO]]&lt;&gt;"",PaymentSchedule[[#This Row],[TOTAL PAYMENT]]-PaymentSchedule[[#This Row],[INTEREST]],"")</f>
        <v>334.06442793549468</v>
      </c>
      <c r="I220" s="7">
        <f>IF(PaymentSchedule[[#This Row],[PMT NO]]&lt;&gt;"",PaymentSchedule[[#This Row],[BEGINNING BALANCE]]*(InterestRate/PaymentsPerYear),"")</f>
        <v>273.95794385556803</v>
      </c>
      <c r="J220" s="7">
        <f>IF(PaymentSchedule[[#This Row],[PMT NO]]&lt;&gt;"",IF(PaymentSchedule[[#This Row],[SCHEDULED PAYMENT]]+PaymentSchedule[[#This Row],[EXTRA PAYMENT]]&lt;=PaymentSchedule[[#This Row],[BEGINNING BALANCE]],PaymentSchedule[[#This Row],[BEGINNING BALANCE]]-PaymentSchedule[[#This Row],[PRINCIPAL]],0),"")</f>
        <v>72721.387266882652</v>
      </c>
      <c r="K220" s="7">
        <f>IF(PaymentSchedule[[#This Row],[PMT NO]]&lt;&gt;"",SUM(INDEX([INTEREST],1,1):PaymentSchedule[[#This Row],[INTEREST]]),"")</f>
        <v>74933.883996886332</v>
      </c>
    </row>
    <row r="221" spans="2:11">
      <c r="B221" s="4">
        <f>IF(LoanIsGood,IF(ROW()-ROW(PaymentSchedule[[#Headers],[PMT NO]])&gt;ScheduledNumberOfPayments,"",ROW()-ROW(PaymentSchedule[[#Headers],[PMT NO]])),"")</f>
        <v>202</v>
      </c>
      <c r="C221" s="5">
        <f>IF(PaymentSchedule[[#This Row],[PMT NO]]&lt;&gt;"",EOMONTH(LoanStartDate,ROW(PaymentSchedule[[#This Row],[PMT NO]])-ROW(PaymentSchedule[[#Headers],[PMT NO]])-2)+DAY(LoanStartDate),"")</f>
        <v>50192</v>
      </c>
      <c r="D221" s="7">
        <f>IF(PaymentSchedule[[#This Row],[PMT NO]]&lt;&gt;"",IF(ROW()-ROW(PaymentSchedule[[#Headers],[BEGINNING BALANCE]])=1,LoanAmount,INDEX([ENDING BALANCE],ROW()-ROW(PaymentSchedule[[#Headers],[BEGINNING BALANCE]])-1)),"")</f>
        <v>72721.387266882652</v>
      </c>
      <c r="E221" s="7">
        <f>IF(PaymentSchedule[[#This Row],[PMT NO]]&lt;&gt;"",ScheduledPayment,"")</f>
        <v>608.02237179106271</v>
      </c>
      <c r="F22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1" s="7">
        <f>IF(PaymentSchedule[[#This Row],[PMT NO]]&lt;&gt;"",PaymentSchedule[[#This Row],[TOTAL PAYMENT]]-PaymentSchedule[[#This Row],[INTEREST]],"")</f>
        <v>335.31716954025279</v>
      </c>
      <c r="I221" s="7">
        <f>IF(PaymentSchedule[[#This Row],[PMT NO]]&lt;&gt;"",PaymentSchedule[[#This Row],[BEGINNING BALANCE]]*(InterestRate/PaymentsPerYear),"")</f>
        <v>272.70520225080992</v>
      </c>
      <c r="J221" s="7">
        <f>IF(PaymentSchedule[[#This Row],[PMT NO]]&lt;&gt;"",IF(PaymentSchedule[[#This Row],[SCHEDULED PAYMENT]]+PaymentSchedule[[#This Row],[EXTRA PAYMENT]]&lt;=PaymentSchedule[[#This Row],[BEGINNING BALANCE]],PaymentSchedule[[#This Row],[BEGINNING BALANCE]]-PaymentSchedule[[#This Row],[PRINCIPAL]],0),"")</f>
        <v>72386.070097342395</v>
      </c>
      <c r="K221" s="7">
        <f>IF(PaymentSchedule[[#This Row],[PMT NO]]&lt;&gt;"",SUM(INDEX([INTEREST],1,1):PaymentSchedule[[#This Row],[INTEREST]]),"")</f>
        <v>75206.589199137146</v>
      </c>
    </row>
    <row r="222" spans="2:11">
      <c r="B222" s="4">
        <f>IF(LoanIsGood,IF(ROW()-ROW(PaymentSchedule[[#Headers],[PMT NO]])&gt;ScheduledNumberOfPayments,"",ROW()-ROW(PaymentSchedule[[#Headers],[PMT NO]])),"")</f>
        <v>203</v>
      </c>
      <c r="C222" s="5">
        <f>IF(PaymentSchedule[[#This Row],[PMT NO]]&lt;&gt;"",EOMONTH(LoanStartDate,ROW(PaymentSchedule[[#This Row],[PMT NO]])-ROW(PaymentSchedule[[#Headers],[PMT NO]])-2)+DAY(LoanStartDate),"")</f>
        <v>50222</v>
      </c>
      <c r="D222" s="7">
        <f>IF(PaymentSchedule[[#This Row],[PMT NO]]&lt;&gt;"",IF(ROW()-ROW(PaymentSchedule[[#Headers],[BEGINNING BALANCE]])=1,LoanAmount,INDEX([ENDING BALANCE],ROW()-ROW(PaymentSchedule[[#Headers],[BEGINNING BALANCE]])-1)),"")</f>
        <v>72386.070097342395</v>
      </c>
      <c r="E222" s="7">
        <f>IF(PaymentSchedule[[#This Row],[PMT NO]]&lt;&gt;"",ScheduledPayment,"")</f>
        <v>608.02237179106271</v>
      </c>
      <c r="F22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2" s="7">
        <f>IF(PaymentSchedule[[#This Row],[PMT NO]]&lt;&gt;"",PaymentSchedule[[#This Row],[TOTAL PAYMENT]]-PaymentSchedule[[#This Row],[INTEREST]],"")</f>
        <v>336.57460892602876</v>
      </c>
      <c r="I222" s="7">
        <f>IF(PaymentSchedule[[#This Row],[PMT NO]]&lt;&gt;"",PaymentSchedule[[#This Row],[BEGINNING BALANCE]]*(InterestRate/PaymentsPerYear),"")</f>
        <v>271.44776286503395</v>
      </c>
      <c r="J222" s="7">
        <f>IF(PaymentSchedule[[#This Row],[PMT NO]]&lt;&gt;"",IF(PaymentSchedule[[#This Row],[SCHEDULED PAYMENT]]+PaymentSchedule[[#This Row],[EXTRA PAYMENT]]&lt;=PaymentSchedule[[#This Row],[BEGINNING BALANCE]],PaymentSchedule[[#This Row],[BEGINNING BALANCE]]-PaymentSchedule[[#This Row],[PRINCIPAL]],0),"")</f>
        <v>72049.49548841636</v>
      </c>
      <c r="K222" s="7">
        <f>IF(PaymentSchedule[[#This Row],[PMT NO]]&lt;&gt;"",SUM(INDEX([INTEREST],1,1):PaymentSchedule[[#This Row],[INTEREST]]),"")</f>
        <v>75478.036962002181</v>
      </c>
    </row>
    <row r="223" spans="2:11">
      <c r="B223" s="4">
        <f>IF(LoanIsGood,IF(ROW()-ROW(PaymentSchedule[[#Headers],[PMT NO]])&gt;ScheduledNumberOfPayments,"",ROW()-ROW(PaymentSchedule[[#Headers],[PMT NO]])),"")</f>
        <v>204</v>
      </c>
      <c r="C223" s="5">
        <f>IF(PaymentSchedule[[#This Row],[PMT NO]]&lt;&gt;"",EOMONTH(LoanStartDate,ROW(PaymentSchedule[[#This Row],[PMT NO]])-ROW(PaymentSchedule[[#Headers],[PMT NO]])-2)+DAY(LoanStartDate),"")</f>
        <v>50253</v>
      </c>
      <c r="D223" s="7">
        <f>IF(PaymentSchedule[[#This Row],[PMT NO]]&lt;&gt;"",IF(ROW()-ROW(PaymentSchedule[[#Headers],[BEGINNING BALANCE]])=1,LoanAmount,INDEX([ENDING BALANCE],ROW()-ROW(PaymentSchedule[[#Headers],[BEGINNING BALANCE]])-1)),"")</f>
        <v>72049.49548841636</v>
      </c>
      <c r="E223" s="7">
        <f>IF(PaymentSchedule[[#This Row],[PMT NO]]&lt;&gt;"",ScheduledPayment,"")</f>
        <v>608.02237179106271</v>
      </c>
      <c r="F22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3" s="7">
        <f>IF(PaymentSchedule[[#This Row],[PMT NO]]&lt;&gt;"",PaymentSchedule[[#This Row],[TOTAL PAYMENT]]-PaymentSchedule[[#This Row],[INTEREST]],"")</f>
        <v>337.83676370950138</v>
      </c>
      <c r="I223" s="7">
        <f>IF(PaymentSchedule[[#This Row],[PMT NO]]&lt;&gt;"",PaymentSchedule[[#This Row],[BEGINNING BALANCE]]*(InterestRate/PaymentsPerYear),"")</f>
        <v>270.18560808156133</v>
      </c>
      <c r="J223" s="7">
        <f>IF(PaymentSchedule[[#This Row],[PMT NO]]&lt;&gt;"",IF(PaymentSchedule[[#This Row],[SCHEDULED PAYMENT]]+PaymentSchedule[[#This Row],[EXTRA PAYMENT]]&lt;=PaymentSchedule[[#This Row],[BEGINNING BALANCE]],PaymentSchedule[[#This Row],[BEGINNING BALANCE]]-PaymentSchedule[[#This Row],[PRINCIPAL]],0),"")</f>
        <v>71711.658724706853</v>
      </c>
      <c r="K223" s="7">
        <f>IF(PaymentSchedule[[#This Row],[PMT NO]]&lt;&gt;"",SUM(INDEX([INTEREST],1,1):PaymentSchedule[[#This Row],[INTEREST]]),"")</f>
        <v>75748.222570083744</v>
      </c>
    </row>
    <row r="224" spans="2:11">
      <c r="B224" s="4">
        <f>IF(LoanIsGood,IF(ROW()-ROW(PaymentSchedule[[#Headers],[PMT NO]])&gt;ScheduledNumberOfPayments,"",ROW()-ROW(PaymentSchedule[[#Headers],[PMT NO]])),"")</f>
        <v>205</v>
      </c>
      <c r="C224" s="5">
        <f>IF(PaymentSchedule[[#This Row],[PMT NO]]&lt;&gt;"",EOMONTH(LoanStartDate,ROW(PaymentSchedule[[#This Row],[PMT NO]])-ROW(PaymentSchedule[[#Headers],[PMT NO]])-2)+DAY(LoanStartDate),"")</f>
        <v>50284</v>
      </c>
      <c r="D224" s="7">
        <f>IF(PaymentSchedule[[#This Row],[PMT NO]]&lt;&gt;"",IF(ROW()-ROW(PaymentSchedule[[#Headers],[BEGINNING BALANCE]])=1,LoanAmount,INDEX([ENDING BALANCE],ROW()-ROW(PaymentSchedule[[#Headers],[BEGINNING BALANCE]])-1)),"")</f>
        <v>71711.658724706853</v>
      </c>
      <c r="E224" s="7">
        <f>IF(PaymentSchedule[[#This Row],[PMT NO]]&lt;&gt;"",ScheduledPayment,"")</f>
        <v>608.02237179106271</v>
      </c>
      <c r="F22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4" s="7">
        <f>IF(PaymentSchedule[[#This Row],[PMT NO]]&lt;&gt;"",PaymentSchedule[[#This Row],[TOTAL PAYMENT]]-PaymentSchedule[[#This Row],[INTEREST]],"")</f>
        <v>339.10365157341204</v>
      </c>
      <c r="I224" s="7">
        <f>IF(PaymentSchedule[[#This Row],[PMT NO]]&lt;&gt;"",PaymentSchedule[[#This Row],[BEGINNING BALANCE]]*(InterestRate/PaymentsPerYear),"")</f>
        <v>268.91872021765067</v>
      </c>
      <c r="J224" s="7">
        <f>IF(PaymentSchedule[[#This Row],[PMT NO]]&lt;&gt;"",IF(PaymentSchedule[[#This Row],[SCHEDULED PAYMENT]]+PaymentSchedule[[#This Row],[EXTRA PAYMENT]]&lt;=PaymentSchedule[[#This Row],[BEGINNING BALANCE]],PaymentSchedule[[#This Row],[BEGINNING BALANCE]]-PaymentSchedule[[#This Row],[PRINCIPAL]],0),"")</f>
        <v>71372.555073133437</v>
      </c>
      <c r="K224" s="7">
        <f>IF(PaymentSchedule[[#This Row],[PMT NO]]&lt;&gt;"",SUM(INDEX([INTEREST],1,1):PaymentSchedule[[#This Row],[INTEREST]]),"")</f>
        <v>76017.141290301399</v>
      </c>
    </row>
    <row r="225" spans="2:11">
      <c r="B225" s="4">
        <f>IF(LoanIsGood,IF(ROW()-ROW(PaymentSchedule[[#Headers],[PMT NO]])&gt;ScheduledNumberOfPayments,"",ROW()-ROW(PaymentSchedule[[#Headers],[PMT NO]])),"")</f>
        <v>206</v>
      </c>
      <c r="C225" s="5">
        <f>IF(PaymentSchedule[[#This Row],[PMT NO]]&lt;&gt;"",EOMONTH(LoanStartDate,ROW(PaymentSchedule[[#This Row],[PMT NO]])-ROW(PaymentSchedule[[#Headers],[PMT NO]])-2)+DAY(LoanStartDate),"")</f>
        <v>50314</v>
      </c>
      <c r="D225" s="7">
        <f>IF(PaymentSchedule[[#This Row],[PMT NO]]&lt;&gt;"",IF(ROW()-ROW(PaymentSchedule[[#Headers],[BEGINNING BALANCE]])=1,LoanAmount,INDEX([ENDING BALANCE],ROW()-ROW(PaymentSchedule[[#Headers],[BEGINNING BALANCE]])-1)),"")</f>
        <v>71372.555073133437</v>
      </c>
      <c r="E225" s="7">
        <f>IF(PaymentSchedule[[#This Row],[PMT NO]]&lt;&gt;"",ScheduledPayment,"")</f>
        <v>608.02237179106271</v>
      </c>
      <c r="F22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5" s="7">
        <f>IF(PaymentSchedule[[#This Row],[PMT NO]]&lt;&gt;"",PaymentSchedule[[#This Row],[TOTAL PAYMENT]]-PaymentSchedule[[#This Row],[INTEREST]],"")</f>
        <v>340.37529026681233</v>
      </c>
      <c r="I225" s="7">
        <f>IF(PaymentSchedule[[#This Row],[PMT NO]]&lt;&gt;"",PaymentSchedule[[#This Row],[BEGINNING BALANCE]]*(InterestRate/PaymentsPerYear),"")</f>
        <v>267.64708152425038</v>
      </c>
      <c r="J225" s="7">
        <f>IF(PaymentSchedule[[#This Row],[PMT NO]]&lt;&gt;"",IF(PaymentSchedule[[#This Row],[SCHEDULED PAYMENT]]+PaymentSchedule[[#This Row],[EXTRA PAYMENT]]&lt;=PaymentSchedule[[#This Row],[BEGINNING BALANCE]],PaymentSchedule[[#This Row],[BEGINNING BALANCE]]-PaymentSchedule[[#This Row],[PRINCIPAL]],0),"")</f>
        <v>71032.179782866631</v>
      </c>
      <c r="K225" s="7">
        <f>IF(PaymentSchedule[[#This Row],[PMT NO]]&lt;&gt;"",SUM(INDEX([INTEREST],1,1):PaymentSchedule[[#This Row],[INTEREST]]),"")</f>
        <v>76284.788371825649</v>
      </c>
    </row>
    <row r="226" spans="2:11">
      <c r="B226" s="4">
        <f>IF(LoanIsGood,IF(ROW()-ROW(PaymentSchedule[[#Headers],[PMT NO]])&gt;ScheduledNumberOfPayments,"",ROW()-ROW(PaymentSchedule[[#Headers],[PMT NO]])),"")</f>
        <v>207</v>
      </c>
      <c r="C226" s="5">
        <f>IF(PaymentSchedule[[#This Row],[PMT NO]]&lt;&gt;"",EOMONTH(LoanStartDate,ROW(PaymentSchedule[[#This Row],[PMT NO]])-ROW(PaymentSchedule[[#Headers],[PMT NO]])-2)+DAY(LoanStartDate),"")</f>
        <v>50345</v>
      </c>
      <c r="D226" s="7">
        <f>IF(PaymentSchedule[[#This Row],[PMT NO]]&lt;&gt;"",IF(ROW()-ROW(PaymentSchedule[[#Headers],[BEGINNING BALANCE]])=1,LoanAmount,INDEX([ENDING BALANCE],ROW()-ROW(PaymentSchedule[[#Headers],[BEGINNING BALANCE]])-1)),"")</f>
        <v>71032.179782866631</v>
      </c>
      <c r="E226" s="7">
        <f>IF(PaymentSchedule[[#This Row],[PMT NO]]&lt;&gt;"",ScheduledPayment,"")</f>
        <v>608.02237179106271</v>
      </c>
      <c r="F22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6" s="7">
        <f>IF(PaymentSchedule[[#This Row],[PMT NO]]&lt;&gt;"",PaymentSchedule[[#This Row],[TOTAL PAYMENT]]-PaymentSchedule[[#This Row],[INTEREST]],"")</f>
        <v>341.65169760531285</v>
      </c>
      <c r="I226" s="7">
        <f>IF(PaymentSchedule[[#This Row],[PMT NO]]&lt;&gt;"",PaymentSchedule[[#This Row],[BEGINNING BALANCE]]*(InterestRate/PaymentsPerYear),"")</f>
        <v>266.37067418574986</v>
      </c>
      <c r="J226" s="7">
        <f>IF(PaymentSchedule[[#This Row],[PMT NO]]&lt;&gt;"",IF(PaymentSchedule[[#This Row],[SCHEDULED PAYMENT]]+PaymentSchedule[[#This Row],[EXTRA PAYMENT]]&lt;=PaymentSchedule[[#This Row],[BEGINNING BALANCE]],PaymentSchedule[[#This Row],[BEGINNING BALANCE]]-PaymentSchedule[[#This Row],[PRINCIPAL]],0),"")</f>
        <v>70690.528085261321</v>
      </c>
      <c r="K226" s="7">
        <f>IF(PaymentSchedule[[#This Row],[PMT NO]]&lt;&gt;"",SUM(INDEX([INTEREST],1,1):PaymentSchedule[[#This Row],[INTEREST]]),"")</f>
        <v>76551.159046011395</v>
      </c>
    </row>
    <row r="227" spans="2:11">
      <c r="B227" s="4">
        <f>IF(LoanIsGood,IF(ROW()-ROW(PaymentSchedule[[#Headers],[PMT NO]])&gt;ScheduledNumberOfPayments,"",ROW()-ROW(PaymentSchedule[[#Headers],[PMT NO]])),"")</f>
        <v>208</v>
      </c>
      <c r="C227" s="5">
        <f>IF(PaymentSchedule[[#This Row],[PMT NO]]&lt;&gt;"",EOMONTH(LoanStartDate,ROW(PaymentSchedule[[#This Row],[PMT NO]])-ROW(PaymentSchedule[[#Headers],[PMT NO]])-2)+DAY(LoanStartDate),"")</f>
        <v>50375</v>
      </c>
      <c r="D227" s="7">
        <f>IF(PaymentSchedule[[#This Row],[PMT NO]]&lt;&gt;"",IF(ROW()-ROW(PaymentSchedule[[#Headers],[BEGINNING BALANCE]])=1,LoanAmount,INDEX([ENDING BALANCE],ROW()-ROW(PaymentSchedule[[#Headers],[BEGINNING BALANCE]])-1)),"")</f>
        <v>70690.528085261321</v>
      </c>
      <c r="E227" s="7">
        <f>IF(PaymentSchedule[[#This Row],[PMT NO]]&lt;&gt;"",ScheduledPayment,"")</f>
        <v>608.02237179106271</v>
      </c>
      <c r="F22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7" s="7">
        <f>IF(PaymentSchedule[[#This Row],[PMT NO]]&lt;&gt;"",PaymentSchedule[[#This Row],[TOTAL PAYMENT]]-PaymentSchedule[[#This Row],[INTEREST]],"")</f>
        <v>342.93289147133277</v>
      </c>
      <c r="I227" s="7">
        <f>IF(PaymentSchedule[[#This Row],[PMT NO]]&lt;&gt;"",PaymentSchedule[[#This Row],[BEGINNING BALANCE]]*(InterestRate/PaymentsPerYear),"")</f>
        <v>265.08948031972994</v>
      </c>
      <c r="J227" s="7">
        <f>IF(PaymentSchedule[[#This Row],[PMT NO]]&lt;&gt;"",IF(PaymentSchedule[[#This Row],[SCHEDULED PAYMENT]]+PaymentSchedule[[#This Row],[EXTRA PAYMENT]]&lt;=PaymentSchedule[[#This Row],[BEGINNING BALANCE]],PaymentSchedule[[#This Row],[BEGINNING BALANCE]]-PaymentSchedule[[#This Row],[PRINCIPAL]],0),"")</f>
        <v>70347.595193789995</v>
      </c>
      <c r="K227" s="7">
        <f>IF(PaymentSchedule[[#This Row],[PMT NO]]&lt;&gt;"",SUM(INDEX([INTEREST],1,1):PaymentSchedule[[#This Row],[INTEREST]]),"")</f>
        <v>76816.248526331125</v>
      </c>
    </row>
    <row r="228" spans="2:11">
      <c r="B228" s="4">
        <f>IF(LoanIsGood,IF(ROW()-ROW(PaymentSchedule[[#Headers],[PMT NO]])&gt;ScheduledNumberOfPayments,"",ROW()-ROW(PaymentSchedule[[#Headers],[PMT NO]])),"")</f>
        <v>209</v>
      </c>
      <c r="C228" s="5">
        <f>IF(PaymentSchedule[[#This Row],[PMT NO]]&lt;&gt;"",EOMONTH(LoanStartDate,ROW(PaymentSchedule[[#This Row],[PMT NO]])-ROW(PaymentSchedule[[#Headers],[PMT NO]])-2)+DAY(LoanStartDate),"")</f>
        <v>50406</v>
      </c>
      <c r="D228" s="7">
        <f>IF(PaymentSchedule[[#This Row],[PMT NO]]&lt;&gt;"",IF(ROW()-ROW(PaymentSchedule[[#Headers],[BEGINNING BALANCE]])=1,LoanAmount,INDEX([ENDING BALANCE],ROW()-ROW(PaymentSchedule[[#Headers],[BEGINNING BALANCE]])-1)),"")</f>
        <v>70347.595193789995</v>
      </c>
      <c r="E228" s="7">
        <f>IF(PaymentSchedule[[#This Row],[PMT NO]]&lt;&gt;"",ScheduledPayment,"")</f>
        <v>608.02237179106271</v>
      </c>
      <c r="F22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8" s="7">
        <f>IF(PaymentSchedule[[#This Row],[PMT NO]]&lt;&gt;"",PaymentSchedule[[#This Row],[TOTAL PAYMENT]]-PaymentSchedule[[#This Row],[INTEREST]],"")</f>
        <v>344.21888981435023</v>
      </c>
      <c r="I228" s="7">
        <f>IF(PaymentSchedule[[#This Row],[PMT NO]]&lt;&gt;"",PaymentSchedule[[#This Row],[BEGINNING BALANCE]]*(InterestRate/PaymentsPerYear),"")</f>
        <v>263.80348197671248</v>
      </c>
      <c r="J228" s="7">
        <f>IF(PaymentSchedule[[#This Row],[PMT NO]]&lt;&gt;"",IF(PaymentSchedule[[#This Row],[SCHEDULED PAYMENT]]+PaymentSchedule[[#This Row],[EXTRA PAYMENT]]&lt;=PaymentSchedule[[#This Row],[BEGINNING BALANCE]],PaymentSchedule[[#This Row],[BEGINNING BALANCE]]-PaymentSchedule[[#This Row],[PRINCIPAL]],0),"")</f>
        <v>70003.376303975645</v>
      </c>
      <c r="K228" s="7">
        <f>IF(PaymentSchedule[[#This Row],[PMT NO]]&lt;&gt;"",SUM(INDEX([INTEREST],1,1):PaymentSchedule[[#This Row],[INTEREST]]),"")</f>
        <v>77080.05200830783</v>
      </c>
    </row>
    <row r="229" spans="2:11">
      <c r="B229" s="4">
        <f>IF(LoanIsGood,IF(ROW()-ROW(PaymentSchedule[[#Headers],[PMT NO]])&gt;ScheduledNumberOfPayments,"",ROW()-ROW(PaymentSchedule[[#Headers],[PMT NO]])),"")</f>
        <v>210</v>
      </c>
      <c r="C229" s="5">
        <f>IF(PaymentSchedule[[#This Row],[PMT NO]]&lt;&gt;"",EOMONTH(LoanStartDate,ROW(PaymentSchedule[[#This Row],[PMT NO]])-ROW(PaymentSchedule[[#Headers],[PMT NO]])-2)+DAY(LoanStartDate),"")</f>
        <v>50437</v>
      </c>
      <c r="D229" s="7">
        <f>IF(PaymentSchedule[[#This Row],[PMT NO]]&lt;&gt;"",IF(ROW()-ROW(PaymentSchedule[[#Headers],[BEGINNING BALANCE]])=1,LoanAmount,INDEX([ENDING BALANCE],ROW()-ROW(PaymentSchedule[[#Headers],[BEGINNING BALANCE]])-1)),"")</f>
        <v>70003.376303975645</v>
      </c>
      <c r="E229" s="7">
        <f>IF(PaymentSchedule[[#This Row],[PMT NO]]&lt;&gt;"",ScheduledPayment,"")</f>
        <v>608.02237179106271</v>
      </c>
      <c r="F22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2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29" s="7">
        <f>IF(PaymentSchedule[[#This Row],[PMT NO]]&lt;&gt;"",PaymentSchedule[[#This Row],[TOTAL PAYMENT]]-PaymentSchedule[[#This Row],[INTEREST]],"")</f>
        <v>345.50971065115402</v>
      </c>
      <c r="I229" s="7">
        <f>IF(PaymentSchedule[[#This Row],[PMT NO]]&lt;&gt;"",PaymentSchedule[[#This Row],[BEGINNING BALANCE]]*(InterestRate/PaymentsPerYear),"")</f>
        <v>262.51266113990869</v>
      </c>
      <c r="J229" s="7">
        <f>IF(PaymentSchedule[[#This Row],[PMT NO]]&lt;&gt;"",IF(PaymentSchedule[[#This Row],[SCHEDULED PAYMENT]]+PaymentSchedule[[#This Row],[EXTRA PAYMENT]]&lt;=PaymentSchedule[[#This Row],[BEGINNING BALANCE]],PaymentSchedule[[#This Row],[BEGINNING BALANCE]]-PaymentSchedule[[#This Row],[PRINCIPAL]],0),"")</f>
        <v>69657.866593324492</v>
      </c>
      <c r="K229" s="7">
        <f>IF(PaymentSchedule[[#This Row],[PMT NO]]&lt;&gt;"",SUM(INDEX([INTEREST],1,1):PaymentSchedule[[#This Row],[INTEREST]]),"")</f>
        <v>77342.564669447733</v>
      </c>
    </row>
    <row r="230" spans="2:11">
      <c r="B230" s="4">
        <f>IF(LoanIsGood,IF(ROW()-ROW(PaymentSchedule[[#Headers],[PMT NO]])&gt;ScheduledNumberOfPayments,"",ROW()-ROW(PaymentSchedule[[#Headers],[PMT NO]])),"")</f>
        <v>211</v>
      </c>
      <c r="C230" s="5">
        <f>IF(PaymentSchedule[[#This Row],[PMT NO]]&lt;&gt;"",EOMONTH(LoanStartDate,ROW(PaymentSchedule[[#This Row],[PMT NO]])-ROW(PaymentSchedule[[#Headers],[PMT NO]])-2)+DAY(LoanStartDate),"")</f>
        <v>50465</v>
      </c>
      <c r="D230" s="7">
        <f>IF(PaymentSchedule[[#This Row],[PMT NO]]&lt;&gt;"",IF(ROW()-ROW(PaymentSchedule[[#Headers],[BEGINNING BALANCE]])=1,LoanAmount,INDEX([ENDING BALANCE],ROW()-ROW(PaymentSchedule[[#Headers],[BEGINNING BALANCE]])-1)),"")</f>
        <v>69657.866593324492</v>
      </c>
      <c r="E230" s="7">
        <f>IF(PaymentSchedule[[#This Row],[PMT NO]]&lt;&gt;"",ScheduledPayment,"")</f>
        <v>608.02237179106271</v>
      </c>
      <c r="F23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0" s="7">
        <f>IF(PaymentSchedule[[#This Row],[PMT NO]]&lt;&gt;"",PaymentSchedule[[#This Row],[TOTAL PAYMENT]]-PaymentSchedule[[#This Row],[INTEREST]],"")</f>
        <v>346.80537206609586</v>
      </c>
      <c r="I230" s="7">
        <f>IF(PaymentSchedule[[#This Row],[PMT NO]]&lt;&gt;"",PaymentSchedule[[#This Row],[BEGINNING BALANCE]]*(InterestRate/PaymentsPerYear),"")</f>
        <v>261.21699972496685</v>
      </c>
      <c r="J230" s="7">
        <f>IF(PaymentSchedule[[#This Row],[PMT NO]]&lt;&gt;"",IF(PaymentSchedule[[#This Row],[SCHEDULED PAYMENT]]+PaymentSchedule[[#This Row],[EXTRA PAYMENT]]&lt;=PaymentSchedule[[#This Row],[BEGINNING BALANCE]],PaymentSchedule[[#This Row],[BEGINNING BALANCE]]-PaymentSchedule[[#This Row],[PRINCIPAL]],0),"")</f>
        <v>69311.061221258395</v>
      </c>
      <c r="K230" s="7">
        <f>IF(PaymentSchedule[[#This Row],[PMT NO]]&lt;&gt;"",SUM(INDEX([INTEREST],1,1):PaymentSchedule[[#This Row],[INTEREST]]),"")</f>
        <v>77603.781669172706</v>
      </c>
    </row>
    <row r="231" spans="2:11">
      <c r="B231" s="4">
        <f>IF(LoanIsGood,IF(ROW()-ROW(PaymentSchedule[[#Headers],[PMT NO]])&gt;ScheduledNumberOfPayments,"",ROW()-ROW(PaymentSchedule[[#Headers],[PMT NO]])),"")</f>
        <v>212</v>
      </c>
      <c r="C231" s="5">
        <f>IF(PaymentSchedule[[#This Row],[PMT NO]]&lt;&gt;"",EOMONTH(LoanStartDate,ROW(PaymentSchedule[[#This Row],[PMT NO]])-ROW(PaymentSchedule[[#Headers],[PMT NO]])-2)+DAY(LoanStartDate),"")</f>
        <v>50496</v>
      </c>
      <c r="D231" s="7">
        <f>IF(PaymentSchedule[[#This Row],[PMT NO]]&lt;&gt;"",IF(ROW()-ROW(PaymentSchedule[[#Headers],[BEGINNING BALANCE]])=1,LoanAmount,INDEX([ENDING BALANCE],ROW()-ROW(PaymentSchedule[[#Headers],[BEGINNING BALANCE]])-1)),"")</f>
        <v>69311.061221258395</v>
      </c>
      <c r="E231" s="7">
        <f>IF(PaymentSchedule[[#This Row],[PMT NO]]&lt;&gt;"",ScheduledPayment,"")</f>
        <v>608.02237179106271</v>
      </c>
      <c r="F23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1" s="7">
        <f>IF(PaymentSchedule[[#This Row],[PMT NO]]&lt;&gt;"",PaymentSchedule[[#This Row],[TOTAL PAYMENT]]-PaymentSchedule[[#This Row],[INTEREST]],"")</f>
        <v>348.10589221134376</v>
      </c>
      <c r="I231" s="7">
        <f>IF(PaymentSchedule[[#This Row],[PMT NO]]&lt;&gt;"",PaymentSchedule[[#This Row],[BEGINNING BALANCE]]*(InterestRate/PaymentsPerYear),"")</f>
        <v>259.91647957971895</v>
      </c>
      <c r="J231" s="7">
        <f>IF(PaymentSchedule[[#This Row],[PMT NO]]&lt;&gt;"",IF(PaymentSchedule[[#This Row],[SCHEDULED PAYMENT]]+PaymentSchedule[[#This Row],[EXTRA PAYMENT]]&lt;=PaymentSchedule[[#This Row],[BEGINNING BALANCE]],PaymentSchedule[[#This Row],[BEGINNING BALANCE]]-PaymentSchedule[[#This Row],[PRINCIPAL]],0),"")</f>
        <v>68962.95532904705</v>
      </c>
      <c r="K231" s="7">
        <f>IF(PaymentSchedule[[#This Row],[PMT NO]]&lt;&gt;"",SUM(INDEX([INTEREST],1,1):PaymentSchedule[[#This Row],[INTEREST]]),"")</f>
        <v>77863.698148752432</v>
      </c>
    </row>
    <row r="232" spans="2:11">
      <c r="B232" s="4">
        <f>IF(LoanIsGood,IF(ROW()-ROW(PaymentSchedule[[#Headers],[PMT NO]])&gt;ScheduledNumberOfPayments,"",ROW()-ROW(PaymentSchedule[[#Headers],[PMT NO]])),"")</f>
        <v>213</v>
      </c>
      <c r="C232" s="5">
        <f>IF(PaymentSchedule[[#This Row],[PMT NO]]&lt;&gt;"",EOMONTH(LoanStartDate,ROW(PaymentSchedule[[#This Row],[PMT NO]])-ROW(PaymentSchedule[[#Headers],[PMT NO]])-2)+DAY(LoanStartDate),"")</f>
        <v>50526</v>
      </c>
      <c r="D232" s="7">
        <f>IF(PaymentSchedule[[#This Row],[PMT NO]]&lt;&gt;"",IF(ROW()-ROW(PaymentSchedule[[#Headers],[BEGINNING BALANCE]])=1,LoanAmount,INDEX([ENDING BALANCE],ROW()-ROW(PaymentSchedule[[#Headers],[BEGINNING BALANCE]])-1)),"")</f>
        <v>68962.95532904705</v>
      </c>
      <c r="E232" s="7">
        <f>IF(PaymentSchedule[[#This Row],[PMT NO]]&lt;&gt;"",ScheduledPayment,"")</f>
        <v>608.02237179106271</v>
      </c>
      <c r="F23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2" s="7">
        <f>IF(PaymentSchedule[[#This Row],[PMT NO]]&lt;&gt;"",PaymentSchedule[[#This Row],[TOTAL PAYMENT]]-PaymentSchedule[[#This Row],[INTEREST]],"")</f>
        <v>349.41128930713626</v>
      </c>
      <c r="I232" s="7">
        <f>IF(PaymentSchedule[[#This Row],[PMT NO]]&lt;&gt;"",PaymentSchedule[[#This Row],[BEGINNING BALANCE]]*(InterestRate/PaymentsPerYear),"")</f>
        <v>258.61108248392645</v>
      </c>
      <c r="J232" s="7">
        <f>IF(PaymentSchedule[[#This Row],[PMT NO]]&lt;&gt;"",IF(PaymentSchedule[[#This Row],[SCHEDULED PAYMENT]]+PaymentSchedule[[#This Row],[EXTRA PAYMENT]]&lt;=PaymentSchedule[[#This Row],[BEGINNING BALANCE]],PaymentSchedule[[#This Row],[BEGINNING BALANCE]]-PaymentSchedule[[#This Row],[PRINCIPAL]],0),"")</f>
        <v>68613.544039739907</v>
      </c>
      <c r="K232" s="7">
        <f>IF(PaymentSchedule[[#This Row],[PMT NO]]&lt;&gt;"",SUM(INDEX([INTEREST],1,1):PaymentSchedule[[#This Row],[INTEREST]]),"")</f>
        <v>78122.309231236359</v>
      </c>
    </row>
    <row r="233" spans="2:11">
      <c r="B233" s="4">
        <f>IF(LoanIsGood,IF(ROW()-ROW(PaymentSchedule[[#Headers],[PMT NO]])&gt;ScheduledNumberOfPayments,"",ROW()-ROW(PaymentSchedule[[#Headers],[PMT NO]])),"")</f>
        <v>214</v>
      </c>
      <c r="C233" s="5">
        <f>IF(PaymentSchedule[[#This Row],[PMT NO]]&lt;&gt;"",EOMONTH(LoanStartDate,ROW(PaymentSchedule[[#This Row],[PMT NO]])-ROW(PaymentSchedule[[#Headers],[PMT NO]])-2)+DAY(LoanStartDate),"")</f>
        <v>50557</v>
      </c>
      <c r="D233" s="7">
        <f>IF(PaymentSchedule[[#This Row],[PMT NO]]&lt;&gt;"",IF(ROW()-ROW(PaymentSchedule[[#Headers],[BEGINNING BALANCE]])=1,LoanAmount,INDEX([ENDING BALANCE],ROW()-ROW(PaymentSchedule[[#Headers],[BEGINNING BALANCE]])-1)),"")</f>
        <v>68613.544039739907</v>
      </c>
      <c r="E233" s="7">
        <f>IF(PaymentSchedule[[#This Row],[PMT NO]]&lt;&gt;"",ScheduledPayment,"")</f>
        <v>608.02237179106271</v>
      </c>
      <c r="F23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3" s="7">
        <f>IF(PaymentSchedule[[#This Row],[PMT NO]]&lt;&gt;"",PaymentSchedule[[#This Row],[TOTAL PAYMENT]]-PaymentSchedule[[#This Row],[INTEREST]],"")</f>
        <v>350.72158164203807</v>
      </c>
      <c r="I233" s="7">
        <f>IF(PaymentSchedule[[#This Row],[PMT NO]]&lt;&gt;"",PaymentSchedule[[#This Row],[BEGINNING BALANCE]]*(InterestRate/PaymentsPerYear),"")</f>
        <v>257.30079014902464</v>
      </c>
      <c r="J233" s="7">
        <f>IF(PaymentSchedule[[#This Row],[PMT NO]]&lt;&gt;"",IF(PaymentSchedule[[#This Row],[SCHEDULED PAYMENT]]+PaymentSchedule[[#This Row],[EXTRA PAYMENT]]&lt;=PaymentSchedule[[#This Row],[BEGINNING BALANCE]],PaymentSchedule[[#This Row],[BEGINNING BALANCE]]-PaymentSchedule[[#This Row],[PRINCIPAL]],0),"")</f>
        <v>68262.822458097871</v>
      </c>
      <c r="K233" s="7">
        <f>IF(PaymentSchedule[[#This Row],[PMT NO]]&lt;&gt;"",SUM(INDEX([INTEREST],1,1):PaymentSchedule[[#This Row],[INTEREST]]),"")</f>
        <v>78379.610021385379</v>
      </c>
    </row>
    <row r="234" spans="2:11">
      <c r="B234" s="4">
        <f>IF(LoanIsGood,IF(ROW()-ROW(PaymentSchedule[[#Headers],[PMT NO]])&gt;ScheduledNumberOfPayments,"",ROW()-ROW(PaymentSchedule[[#Headers],[PMT NO]])),"")</f>
        <v>215</v>
      </c>
      <c r="C234" s="5">
        <f>IF(PaymentSchedule[[#This Row],[PMT NO]]&lt;&gt;"",EOMONTH(LoanStartDate,ROW(PaymentSchedule[[#This Row],[PMT NO]])-ROW(PaymentSchedule[[#Headers],[PMT NO]])-2)+DAY(LoanStartDate),"")</f>
        <v>50587</v>
      </c>
      <c r="D234" s="7">
        <f>IF(PaymentSchedule[[#This Row],[PMT NO]]&lt;&gt;"",IF(ROW()-ROW(PaymentSchedule[[#Headers],[BEGINNING BALANCE]])=1,LoanAmount,INDEX([ENDING BALANCE],ROW()-ROW(PaymentSchedule[[#Headers],[BEGINNING BALANCE]])-1)),"")</f>
        <v>68262.822458097871</v>
      </c>
      <c r="E234" s="7">
        <f>IF(PaymentSchedule[[#This Row],[PMT NO]]&lt;&gt;"",ScheduledPayment,"")</f>
        <v>608.02237179106271</v>
      </c>
      <c r="F23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4" s="7">
        <f>IF(PaymentSchedule[[#This Row],[PMT NO]]&lt;&gt;"",PaymentSchedule[[#This Row],[TOTAL PAYMENT]]-PaymentSchedule[[#This Row],[INTEREST]],"")</f>
        <v>352.03678757319574</v>
      </c>
      <c r="I234" s="7">
        <f>IF(PaymentSchedule[[#This Row],[PMT NO]]&lt;&gt;"",PaymentSchedule[[#This Row],[BEGINNING BALANCE]]*(InterestRate/PaymentsPerYear),"")</f>
        <v>255.985584217867</v>
      </c>
      <c r="J234" s="7">
        <f>IF(PaymentSchedule[[#This Row],[PMT NO]]&lt;&gt;"",IF(PaymentSchedule[[#This Row],[SCHEDULED PAYMENT]]+PaymentSchedule[[#This Row],[EXTRA PAYMENT]]&lt;=PaymentSchedule[[#This Row],[BEGINNING BALANCE]],PaymentSchedule[[#This Row],[BEGINNING BALANCE]]-PaymentSchedule[[#This Row],[PRINCIPAL]],0),"")</f>
        <v>67910.785670524681</v>
      </c>
      <c r="K234" s="7">
        <f>IF(PaymentSchedule[[#This Row],[PMT NO]]&lt;&gt;"",SUM(INDEX([INTEREST],1,1):PaymentSchedule[[#This Row],[INTEREST]]),"")</f>
        <v>78635.595605603245</v>
      </c>
    </row>
    <row r="235" spans="2:11">
      <c r="B235" s="4">
        <f>IF(LoanIsGood,IF(ROW()-ROW(PaymentSchedule[[#Headers],[PMT NO]])&gt;ScheduledNumberOfPayments,"",ROW()-ROW(PaymentSchedule[[#Headers],[PMT NO]])),"")</f>
        <v>216</v>
      </c>
      <c r="C235" s="5">
        <f>IF(PaymentSchedule[[#This Row],[PMT NO]]&lt;&gt;"",EOMONTH(LoanStartDate,ROW(PaymentSchedule[[#This Row],[PMT NO]])-ROW(PaymentSchedule[[#Headers],[PMT NO]])-2)+DAY(LoanStartDate),"")</f>
        <v>50618</v>
      </c>
      <c r="D235" s="7">
        <f>IF(PaymentSchedule[[#This Row],[PMT NO]]&lt;&gt;"",IF(ROW()-ROW(PaymentSchedule[[#Headers],[BEGINNING BALANCE]])=1,LoanAmount,INDEX([ENDING BALANCE],ROW()-ROW(PaymentSchedule[[#Headers],[BEGINNING BALANCE]])-1)),"")</f>
        <v>67910.785670524681</v>
      </c>
      <c r="E235" s="7">
        <f>IF(PaymentSchedule[[#This Row],[PMT NO]]&lt;&gt;"",ScheduledPayment,"")</f>
        <v>608.02237179106271</v>
      </c>
      <c r="F23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5" s="7">
        <f>IF(PaymentSchedule[[#This Row],[PMT NO]]&lt;&gt;"",PaymentSchedule[[#This Row],[TOTAL PAYMENT]]-PaymentSchedule[[#This Row],[INTEREST]],"")</f>
        <v>353.35692552659521</v>
      </c>
      <c r="I235" s="7">
        <f>IF(PaymentSchedule[[#This Row],[PMT NO]]&lt;&gt;"",PaymentSchedule[[#This Row],[BEGINNING BALANCE]]*(InterestRate/PaymentsPerYear),"")</f>
        <v>254.66544626446753</v>
      </c>
      <c r="J235" s="7">
        <f>IF(PaymentSchedule[[#This Row],[PMT NO]]&lt;&gt;"",IF(PaymentSchedule[[#This Row],[SCHEDULED PAYMENT]]+PaymentSchedule[[#This Row],[EXTRA PAYMENT]]&lt;=PaymentSchedule[[#This Row],[BEGINNING BALANCE]],PaymentSchedule[[#This Row],[BEGINNING BALANCE]]-PaymentSchedule[[#This Row],[PRINCIPAL]],0),"")</f>
        <v>67557.428744998091</v>
      </c>
      <c r="K235" s="7">
        <f>IF(PaymentSchedule[[#This Row],[PMT NO]]&lt;&gt;"",SUM(INDEX([INTEREST],1,1):PaymentSchedule[[#This Row],[INTEREST]]),"")</f>
        <v>78890.26105186771</v>
      </c>
    </row>
    <row r="236" spans="2:11">
      <c r="B236" s="4">
        <f>IF(LoanIsGood,IF(ROW()-ROW(PaymentSchedule[[#Headers],[PMT NO]])&gt;ScheduledNumberOfPayments,"",ROW()-ROW(PaymentSchedule[[#Headers],[PMT NO]])),"")</f>
        <v>217</v>
      </c>
      <c r="C236" s="5">
        <f>IF(PaymentSchedule[[#This Row],[PMT NO]]&lt;&gt;"",EOMONTH(LoanStartDate,ROW(PaymentSchedule[[#This Row],[PMT NO]])-ROW(PaymentSchedule[[#Headers],[PMT NO]])-2)+DAY(LoanStartDate),"")</f>
        <v>50649</v>
      </c>
      <c r="D236" s="7">
        <f>IF(PaymentSchedule[[#This Row],[PMT NO]]&lt;&gt;"",IF(ROW()-ROW(PaymentSchedule[[#Headers],[BEGINNING BALANCE]])=1,LoanAmount,INDEX([ENDING BALANCE],ROW()-ROW(PaymentSchedule[[#Headers],[BEGINNING BALANCE]])-1)),"")</f>
        <v>67557.428744998091</v>
      </c>
      <c r="E236" s="7">
        <f>IF(PaymentSchedule[[#This Row],[PMT NO]]&lt;&gt;"",ScheduledPayment,"")</f>
        <v>608.02237179106271</v>
      </c>
      <c r="F23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6" s="7">
        <f>IF(PaymentSchedule[[#This Row],[PMT NO]]&lt;&gt;"",PaymentSchedule[[#This Row],[TOTAL PAYMENT]]-PaymentSchedule[[#This Row],[INTEREST]],"")</f>
        <v>354.68201399731987</v>
      </c>
      <c r="I236" s="7">
        <f>IF(PaymentSchedule[[#This Row],[PMT NO]]&lt;&gt;"",PaymentSchedule[[#This Row],[BEGINNING BALANCE]]*(InterestRate/PaymentsPerYear),"")</f>
        <v>253.34035779374284</v>
      </c>
      <c r="J236" s="7">
        <f>IF(PaymentSchedule[[#This Row],[PMT NO]]&lt;&gt;"",IF(PaymentSchedule[[#This Row],[SCHEDULED PAYMENT]]+PaymentSchedule[[#This Row],[EXTRA PAYMENT]]&lt;=PaymentSchedule[[#This Row],[BEGINNING BALANCE]],PaymentSchedule[[#This Row],[BEGINNING BALANCE]]-PaymentSchedule[[#This Row],[PRINCIPAL]],0),"")</f>
        <v>67202.746731000778</v>
      </c>
      <c r="K236" s="7">
        <f>IF(PaymentSchedule[[#This Row],[PMT NO]]&lt;&gt;"",SUM(INDEX([INTEREST],1,1):PaymentSchedule[[#This Row],[INTEREST]]),"")</f>
        <v>79143.601409661453</v>
      </c>
    </row>
    <row r="237" spans="2:11">
      <c r="B237" s="4">
        <f>IF(LoanIsGood,IF(ROW()-ROW(PaymentSchedule[[#Headers],[PMT NO]])&gt;ScheduledNumberOfPayments,"",ROW()-ROW(PaymentSchedule[[#Headers],[PMT NO]])),"")</f>
        <v>218</v>
      </c>
      <c r="C237" s="5">
        <f>IF(PaymentSchedule[[#This Row],[PMT NO]]&lt;&gt;"",EOMONTH(LoanStartDate,ROW(PaymentSchedule[[#This Row],[PMT NO]])-ROW(PaymentSchedule[[#Headers],[PMT NO]])-2)+DAY(LoanStartDate),"")</f>
        <v>50679</v>
      </c>
      <c r="D237" s="7">
        <f>IF(PaymentSchedule[[#This Row],[PMT NO]]&lt;&gt;"",IF(ROW()-ROW(PaymentSchedule[[#Headers],[BEGINNING BALANCE]])=1,LoanAmount,INDEX([ENDING BALANCE],ROW()-ROW(PaymentSchedule[[#Headers],[BEGINNING BALANCE]])-1)),"")</f>
        <v>67202.746731000778</v>
      </c>
      <c r="E237" s="7">
        <f>IF(PaymentSchedule[[#This Row],[PMT NO]]&lt;&gt;"",ScheduledPayment,"")</f>
        <v>608.02237179106271</v>
      </c>
      <c r="F23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7" s="7">
        <f>IF(PaymentSchedule[[#This Row],[PMT NO]]&lt;&gt;"",PaymentSchedule[[#This Row],[TOTAL PAYMENT]]-PaymentSchedule[[#This Row],[INTEREST]],"")</f>
        <v>356.01207154980978</v>
      </c>
      <c r="I237" s="7">
        <f>IF(PaymentSchedule[[#This Row],[PMT NO]]&lt;&gt;"",PaymentSchedule[[#This Row],[BEGINNING BALANCE]]*(InterestRate/PaymentsPerYear),"")</f>
        <v>252.01030024125291</v>
      </c>
      <c r="J237" s="7">
        <f>IF(PaymentSchedule[[#This Row],[PMT NO]]&lt;&gt;"",IF(PaymentSchedule[[#This Row],[SCHEDULED PAYMENT]]+PaymentSchedule[[#This Row],[EXTRA PAYMENT]]&lt;=PaymentSchedule[[#This Row],[BEGINNING BALANCE]],PaymentSchedule[[#This Row],[BEGINNING BALANCE]]-PaymentSchedule[[#This Row],[PRINCIPAL]],0),"")</f>
        <v>66846.734659450973</v>
      </c>
      <c r="K237" s="7">
        <f>IF(PaymentSchedule[[#This Row],[PMT NO]]&lt;&gt;"",SUM(INDEX([INTEREST],1,1):PaymentSchedule[[#This Row],[INTEREST]]),"")</f>
        <v>79395.611709902703</v>
      </c>
    </row>
    <row r="238" spans="2:11">
      <c r="B238" s="4">
        <f>IF(LoanIsGood,IF(ROW()-ROW(PaymentSchedule[[#Headers],[PMT NO]])&gt;ScheduledNumberOfPayments,"",ROW()-ROW(PaymentSchedule[[#Headers],[PMT NO]])),"")</f>
        <v>219</v>
      </c>
      <c r="C238" s="5">
        <f>IF(PaymentSchedule[[#This Row],[PMT NO]]&lt;&gt;"",EOMONTH(LoanStartDate,ROW(PaymentSchedule[[#This Row],[PMT NO]])-ROW(PaymentSchedule[[#Headers],[PMT NO]])-2)+DAY(LoanStartDate),"")</f>
        <v>50710</v>
      </c>
      <c r="D238" s="7">
        <f>IF(PaymentSchedule[[#This Row],[PMT NO]]&lt;&gt;"",IF(ROW()-ROW(PaymentSchedule[[#Headers],[BEGINNING BALANCE]])=1,LoanAmount,INDEX([ENDING BALANCE],ROW()-ROW(PaymentSchedule[[#Headers],[BEGINNING BALANCE]])-1)),"")</f>
        <v>66846.734659450973</v>
      </c>
      <c r="E238" s="7">
        <f>IF(PaymentSchedule[[#This Row],[PMT NO]]&lt;&gt;"",ScheduledPayment,"")</f>
        <v>608.02237179106271</v>
      </c>
      <c r="F23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8" s="7">
        <f>IF(PaymentSchedule[[#This Row],[PMT NO]]&lt;&gt;"",PaymentSchedule[[#This Row],[TOTAL PAYMENT]]-PaymentSchedule[[#This Row],[INTEREST]],"")</f>
        <v>357.34711681812155</v>
      </c>
      <c r="I238" s="7">
        <f>IF(PaymentSchedule[[#This Row],[PMT NO]]&lt;&gt;"",PaymentSchedule[[#This Row],[BEGINNING BALANCE]]*(InterestRate/PaymentsPerYear),"")</f>
        <v>250.67525497294113</v>
      </c>
      <c r="J238" s="7">
        <f>IF(PaymentSchedule[[#This Row],[PMT NO]]&lt;&gt;"",IF(PaymentSchedule[[#This Row],[SCHEDULED PAYMENT]]+PaymentSchedule[[#This Row],[EXTRA PAYMENT]]&lt;=PaymentSchedule[[#This Row],[BEGINNING BALANCE]],PaymentSchedule[[#This Row],[BEGINNING BALANCE]]-PaymentSchedule[[#This Row],[PRINCIPAL]],0),"")</f>
        <v>66489.387542632845</v>
      </c>
      <c r="K238" s="7">
        <f>IF(PaymentSchedule[[#This Row],[PMT NO]]&lt;&gt;"",SUM(INDEX([INTEREST],1,1):PaymentSchedule[[#This Row],[INTEREST]]),"")</f>
        <v>79646.286964875646</v>
      </c>
    </row>
    <row r="239" spans="2:11">
      <c r="B239" s="4">
        <f>IF(LoanIsGood,IF(ROW()-ROW(PaymentSchedule[[#Headers],[PMT NO]])&gt;ScheduledNumberOfPayments,"",ROW()-ROW(PaymentSchedule[[#Headers],[PMT NO]])),"")</f>
        <v>220</v>
      </c>
      <c r="C239" s="5">
        <f>IF(PaymentSchedule[[#This Row],[PMT NO]]&lt;&gt;"",EOMONTH(LoanStartDate,ROW(PaymentSchedule[[#This Row],[PMT NO]])-ROW(PaymentSchedule[[#Headers],[PMT NO]])-2)+DAY(LoanStartDate),"")</f>
        <v>50740</v>
      </c>
      <c r="D239" s="7">
        <f>IF(PaymentSchedule[[#This Row],[PMT NO]]&lt;&gt;"",IF(ROW()-ROW(PaymentSchedule[[#Headers],[BEGINNING BALANCE]])=1,LoanAmount,INDEX([ENDING BALANCE],ROW()-ROW(PaymentSchedule[[#Headers],[BEGINNING BALANCE]])-1)),"")</f>
        <v>66489.387542632845</v>
      </c>
      <c r="E239" s="7">
        <f>IF(PaymentSchedule[[#This Row],[PMT NO]]&lt;&gt;"",ScheduledPayment,"")</f>
        <v>608.02237179106271</v>
      </c>
      <c r="F23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3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39" s="7">
        <f>IF(PaymentSchedule[[#This Row],[PMT NO]]&lt;&gt;"",PaymentSchedule[[#This Row],[TOTAL PAYMENT]]-PaymentSchedule[[#This Row],[INTEREST]],"")</f>
        <v>358.68716850618955</v>
      </c>
      <c r="I239" s="7">
        <f>IF(PaymentSchedule[[#This Row],[PMT NO]]&lt;&gt;"",PaymentSchedule[[#This Row],[BEGINNING BALANCE]]*(InterestRate/PaymentsPerYear),"")</f>
        <v>249.33520328487316</v>
      </c>
      <c r="J239" s="7">
        <f>IF(PaymentSchedule[[#This Row],[PMT NO]]&lt;&gt;"",IF(PaymentSchedule[[#This Row],[SCHEDULED PAYMENT]]+PaymentSchedule[[#This Row],[EXTRA PAYMENT]]&lt;=PaymentSchedule[[#This Row],[BEGINNING BALANCE]],PaymentSchedule[[#This Row],[BEGINNING BALANCE]]-PaymentSchedule[[#This Row],[PRINCIPAL]],0),"")</f>
        <v>66130.700374126653</v>
      </c>
      <c r="K239" s="7">
        <f>IF(PaymentSchedule[[#This Row],[PMT NO]]&lt;&gt;"",SUM(INDEX([INTEREST],1,1):PaymentSchedule[[#This Row],[INTEREST]]),"")</f>
        <v>79895.622168160524</v>
      </c>
    </row>
    <row r="240" spans="2:11">
      <c r="B240" s="4">
        <f>IF(LoanIsGood,IF(ROW()-ROW(PaymentSchedule[[#Headers],[PMT NO]])&gt;ScheduledNumberOfPayments,"",ROW()-ROW(PaymentSchedule[[#Headers],[PMT NO]])),"")</f>
        <v>221</v>
      </c>
      <c r="C240" s="5">
        <f>IF(PaymentSchedule[[#This Row],[PMT NO]]&lt;&gt;"",EOMONTH(LoanStartDate,ROW(PaymentSchedule[[#This Row],[PMT NO]])-ROW(PaymentSchedule[[#Headers],[PMT NO]])-2)+DAY(LoanStartDate),"")</f>
        <v>50771</v>
      </c>
      <c r="D240" s="7">
        <f>IF(PaymentSchedule[[#This Row],[PMT NO]]&lt;&gt;"",IF(ROW()-ROW(PaymentSchedule[[#Headers],[BEGINNING BALANCE]])=1,LoanAmount,INDEX([ENDING BALANCE],ROW()-ROW(PaymentSchedule[[#Headers],[BEGINNING BALANCE]])-1)),"")</f>
        <v>66130.700374126653</v>
      </c>
      <c r="E240" s="7">
        <f>IF(PaymentSchedule[[#This Row],[PMT NO]]&lt;&gt;"",ScheduledPayment,"")</f>
        <v>608.02237179106271</v>
      </c>
      <c r="F24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0" s="7">
        <f>IF(PaymentSchedule[[#This Row],[PMT NO]]&lt;&gt;"",PaymentSchedule[[#This Row],[TOTAL PAYMENT]]-PaymentSchedule[[#This Row],[INTEREST]],"")</f>
        <v>360.03224538808774</v>
      </c>
      <c r="I240" s="7">
        <f>IF(PaymentSchedule[[#This Row],[PMT NO]]&lt;&gt;"",PaymentSchedule[[#This Row],[BEGINNING BALANCE]]*(InterestRate/PaymentsPerYear),"")</f>
        <v>247.99012640297494</v>
      </c>
      <c r="J240" s="7">
        <f>IF(PaymentSchedule[[#This Row],[PMT NO]]&lt;&gt;"",IF(PaymentSchedule[[#This Row],[SCHEDULED PAYMENT]]+PaymentSchedule[[#This Row],[EXTRA PAYMENT]]&lt;=PaymentSchedule[[#This Row],[BEGINNING BALANCE]],PaymentSchedule[[#This Row],[BEGINNING BALANCE]]-PaymentSchedule[[#This Row],[PRINCIPAL]],0),"")</f>
        <v>65770.668128738558</v>
      </c>
      <c r="K240" s="7">
        <f>IF(PaymentSchedule[[#This Row],[PMT NO]]&lt;&gt;"",SUM(INDEX([INTEREST],1,1):PaymentSchedule[[#This Row],[INTEREST]]),"")</f>
        <v>80143.6122945635</v>
      </c>
    </row>
    <row r="241" spans="2:11">
      <c r="B241" s="4">
        <f>IF(LoanIsGood,IF(ROW()-ROW(PaymentSchedule[[#Headers],[PMT NO]])&gt;ScheduledNumberOfPayments,"",ROW()-ROW(PaymentSchedule[[#Headers],[PMT NO]])),"")</f>
        <v>222</v>
      </c>
      <c r="C241" s="5">
        <f>IF(PaymentSchedule[[#This Row],[PMT NO]]&lt;&gt;"",EOMONTH(LoanStartDate,ROW(PaymentSchedule[[#This Row],[PMT NO]])-ROW(PaymentSchedule[[#Headers],[PMT NO]])-2)+DAY(LoanStartDate),"")</f>
        <v>50802</v>
      </c>
      <c r="D241" s="7">
        <f>IF(PaymentSchedule[[#This Row],[PMT NO]]&lt;&gt;"",IF(ROW()-ROW(PaymentSchedule[[#Headers],[BEGINNING BALANCE]])=1,LoanAmount,INDEX([ENDING BALANCE],ROW()-ROW(PaymentSchedule[[#Headers],[BEGINNING BALANCE]])-1)),"")</f>
        <v>65770.668128738558</v>
      </c>
      <c r="E241" s="7">
        <f>IF(PaymentSchedule[[#This Row],[PMT NO]]&lt;&gt;"",ScheduledPayment,"")</f>
        <v>608.02237179106271</v>
      </c>
      <c r="F24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1" s="7">
        <f>IF(PaymentSchedule[[#This Row],[PMT NO]]&lt;&gt;"",PaymentSchedule[[#This Row],[TOTAL PAYMENT]]-PaymentSchedule[[#This Row],[INTEREST]],"")</f>
        <v>361.38236630829311</v>
      </c>
      <c r="I241" s="7">
        <f>IF(PaymentSchedule[[#This Row],[PMT NO]]&lt;&gt;"",PaymentSchedule[[#This Row],[BEGINNING BALANCE]]*(InterestRate/PaymentsPerYear),"")</f>
        <v>246.6400054827696</v>
      </c>
      <c r="J241" s="7">
        <f>IF(PaymentSchedule[[#This Row],[PMT NO]]&lt;&gt;"",IF(PaymentSchedule[[#This Row],[SCHEDULED PAYMENT]]+PaymentSchedule[[#This Row],[EXTRA PAYMENT]]&lt;=PaymentSchedule[[#This Row],[BEGINNING BALANCE]],PaymentSchedule[[#This Row],[BEGINNING BALANCE]]-PaymentSchedule[[#This Row],[PRINCIPAL]],0),"")</f>
        <v>65409.285762430263</v>
      </c>
      <c r="K241" s="7">
        <f>IF(PaymentSchedule[[#This Row],[PMT NO]]&lt;&gt;"",SUM(INDEX([INTEREST],1,1):PaymentSchedule[[#This Row],[INTEREST]]),"")</f>
        <v>80390.252300046268</v>
      </c>
    </row>
    <row r="242" spans="2:11">
      <c r="B242" s="4">
        <f>IF(LoanIsGood,IF(ROW()-ROW(PaymentSchedule[[#Headers],[PMT NO]])&gt;ScheduledNumberOfPayments,"",ROW()-ROW(PaymentSchedule[[#Headers],[PMT NO]])),"")</f>
        <v>223</v>
      </c>
      <c r="C242" s="5">
        <f>IF(PaymentSchedule[[#This Row],[PMT NO]]&lt;&gt;"",EOMONTH(LoanStartDate,ROW(PaymentSchedule[[#This Row],[PMT NO]])-ROW(PaymentSchedule[[#Headers],[PMT NO]])-2)+DAY(LoanStartDate),"")</f>
        <v>50830</v>
      </c>
      <c r="D242" s="7">
        <f>IF(PaymentSchedule[[#This Row],[PMT NO]]&lt;&gt;"",IF(ROW()-ROW(PaymentSchedule[[#Headers],[BEGINNING BALANCE]])=1,LoanAmount,INDEX([ENDING BALANCE],ROW()-ROW(PaymentSchedule[[#Headers],[BEGINNING BALANCE]])-1)),"")</f>
        <v>65409.285762430263</v>
      </c>
      <c r="E242" s="7">
        <f>IF(PaymentSchedule[[#This Row],[PMT NO]]&lt;&gt;"",ScheduledPayment,"")</f>
        <v>608.02237179106271</v>
      </c>
      <c r="F24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2" s="7">
        <f>IF(PaymentSchedule[[#This Row],[PMT NO]]&lt;&gt;"",PaymentSchedule[[#This Row],[TOTAL PAYMENT]]-PaymentSchedule[[#This Row],[INTEREST]],"")</f>
        <v>362.73755018194925</v>
      </c>
      <c r="I242" s="7">
        <f>IF(PaymentSchedule[[#This Row],[PMT NO]]&lt;&gt;"",PaymentSchedule[[#This Row],[BEGINNING BALANCE]]*(InterestRate/PaymentsPerYear),"")</f>
        <v>245.28482160911346</v>
      </c>
      <c r="J242" s="7">
        <f>IF(PaymentSchedule[[#This Row],[PMT NO]]&lt;&gt;"",IF(PaymentSchedule[[#This Row],[SCHEDULED PAYMENT]]+PaymentSchedule[[#This Row],[EXTRA PAYMENT]]&lt;=PaymentSchedule[[#This Row],[BEGINNING BALANCE]],PaymentSchedule[[#This Row],[BEGINNING BALANCE]]-PaymentSchedule[[#This Row],[PRINCIPAL]],0),"")</f>
        <v>65046.548212248315</v>
      </c>
      <c r="K242" s="7">
        <f>IF(PaymentSchedule[[#This Row],[PMT NO]]&lt;&gt;"",SUM(INDEX([INTEREST],1,1):PaymentSchedule[[#This Row],[INTEREST]]),"")</f>
        <v>80635.537121655376</v>
      </c>
    </row>
    <row r="243" spans="2:11">
      <c r="B243" s="4">
        <f>IF(LoanIsGood,IF(ROW()-ROW(PaymentSchedule[[#Headers],[PMT NO]])&gt;ScheduledNumberOfPayments,"",ROW()-ROW(PaymentSchedule[[#Headers],[PMT NO]])),"")</f>
        <v>224</v>
      </c>
      <c r="C243" s="5">
        <f>IF(PaymentSchedule[[#This Row],[PMT NO]]&lt;&gt;"",EOMONTH(LoanStartDate,ROW(PaymentSchedule[[#This Row],[PMT NO]])-ROW(PaymentSchedule[[#Headers],[PMT NO]])-2)+DAY(LoanStartDate),"")</f>
        <v>50861</v>
      </c>
      <c r="D243" s="7">
        <f>IF(PaymentSchedule[[#This Row],[PMT NO]]&lt;&gt;"",IF(ROW()-ROW(PaymentSchedule[[#Headers],[BEGINNING BALANCE]])=1,LoanAmount,INDEX([ENDING BALANCE],ROW()-ROW(PaymentSchedule[[#Headers],[BEGINNING BALANCE]])-1)),"")</f>
        <v>65046.548212248315</v>
      </c>
      <c r="E243" s="7">
        <f>IF(PaymentSchedule[[#This Row],[PMT NO]]&lt;&gt;"",ScheduledPayment,"")</f>
        <v>608.02237179106271</v>
      </c>
      <c r="F24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3" s="7">
        <f>IF(PaymentSchedule[[#This Row],[PMT NO]]&lt;&gt;"",PaymentSchedule[[#This Row],[TOTAL PAYMENT]]-PaymentSchedule[[#This Row],[INTEREST]],"")</f>
        <v>364.09781599513155</v>
      </c>
      <c r="I243" s="7">
        <f>IF(PaymentSchedule[[#This Row],[PMT NO]]&lt;&gt;"",PaymentSchedule[[#This Row],[BEGINNING BALANCE]]*(InterestRate/PaymentsPerYear),"")</f>
        <v>243.92455579593118</v>
      </c>
      <c r="J243" s="7">
        <f>IF(PaymentSchedule[[#This Row],[PMT NO]]&lt;&gt;"",IF(PaymentSchedule[[#This Row],[SCHEDULED PAYMENT]]+PaymentSchedule[[#This Row],[EXTRA PAYMENT]]&lt;=PaymentSchedule[[#This Row],[BEGINNING BALANCE]],PaymentSchedule[[#This Row],[BEGINNING BALANCE]]-PaymentSchedule[[#This Row],[PRINCIPAL]],0),"")</f>
        <v>64682.450396253182</v>
      </c>
      <c r="K243" s="7">
        <f>IF(PaymentSchedule[[#This Row],[PMT NO]]&lt;&gt;"",SUM(INDEX([INTEREST],1,1):PaymentSchedule[[#This Row],[INTEREST]]),"")</f>
        <v>80879.461677451312</v>
      </c>
    </row>
    <row r="244" spans="2:11">
      <c r="B244" s="4">
        <f>IF(LoanIsGood,IF(ROW()-ROW(PaymentSchedule[[#Headers],[PMT NO]])&gt;ScheduledNumberOfPayments,"",ROW()-ROW(PaymentSchedule[[#Headers],[PMT NO]])),"")</f>
        <v>225</v>
      </c>
      <c r="C244" s="5">
        <f>IF(PaymentSchedule[[#This Row],[PMT NO]]&lt;&gt;"",EOMONTH(LoanStartDate,ROW(PaymentSchedule[[#This Row],[PMT NO]])-ROW(PaymentSchedule[[#Headers],[PMT NO]])-2)+DAY(LoanStartDate),"")</f>
        <v>50891</v>
      </c>
      <c r="D244" s="7">
        <f>IF(PaymentSchedule[[#This Row],[PMT NO]]&lt;&gt;"",IF(ROW()-ROW(PaymentSchedule[[#Headers],[BEGINNING BALANCE]])=1,LoanAmount,INDEX([ENDING BALANCE],ROW()-ROW(PaymentSchedule[[#Headers],[BEGINNING BALANCE]])-1)),"")</f>
        <v>64682.450396253182</v>
      </c>
      <c r="E244" s="7">
        <f>IF(PaymentSchedule[[#This Row],[PMT NO]]&lt;&gt;"",ScheduledPayment,"")</f>
        <v>608.02237179106271</v>
      </c>
      <c r="F24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4" s="7">
        <f>IF(PaymentSchedule[[#This Row],[PMT NO]]&lt;&gt;"",PaymentSchedule[[#This Row],[TOTAL PAYMENT]]-PaymentSchedule[[#This Row],[INTEREST]],"")</f>
        <v>365.46318280511332</v>
      </c>
      <c r="I244" s="7">
        <f>IF(PaymentSchedule[[#This Row],[PMT NO]]&lt;&gt;"",PaymentSchedule[[#This Row],[BEGINNING BALANCE]]*(InterestRate/PaymentsPerYear),"")</f>
        <v>242.55918898594942</v>
      </c>
      <c r="J244" s="7">
        <f>IF(PaymentSchedule[[#This Row],[PMT NO]]&lt;&gt;"",IF(PaymentSchedule[[#This Row],[SCHEDULED PAYMENT]]+PaymentSchedule[[#This Row],[EXTRA PAYMENT]]&lt;=PaymentSchedule[[#This Row],[BEGINNING BALANCE]],PaymentSchedule[[#This Row],[BEGINNING BALANCE]]-PaymentSchedule[[#This Row],[PRINCIPAL]],0),"")</f>
        <v>64316.987213448068</v>
      </c>
      <c r="K244" s="7">
        <f>IF(PaymentSchedule[[#This Row],[PMT NO]]&lt;&gt;"",SUM(INDEX([INTEREST],1,1):PaymentSchedule[[#This Row],[INTEREST]]),"")</f>
        <v>81122.020866437262</v>
      </c>
    </row>
    <row r="245" spans="2:11">
      <c r="B245" s="4">
        <f>IF(LoanIsGood,IF(ROW()-ROW(PaymentSchedule[[#Headers],[PMT NO]])&gt;ScheduledNumberOfPayments,"",ROW()-ROW(PaymentSchedule[[#Headers],[PMT NO]])),"")</f>
        <v>226</v>
      </c>
      <c r="C245" s="5">
        <f>IF(PaymentSchedule[[#This Row],[PMT NO]]&lt;&gt;"",EOMONTH(LoanStartDate,ROW(PaymentSchedule[[#This Row],[PMT NO]])-ROW(PaymentSchedule[[#Headers],[PMT NO]])-2)+DAY(LoanStartDate),"")</f>
        <v>50922</v>
      </c>
      <c r="D245" s="7">
        <f>IF(PaymentSchedule[[#This Row],[PMT NO]]&lt;&gt;"",IF(ROW()-ROW(PaymentSchedule[[#Headers],[BEGINNING BALANCE]])=1,LoanAmount,INDEX([ENDING BALANCE],ROW()-ROW(PaymentSchedule[[#Headers],[BEGINNING BALANCE]])-1)),"")</f>
        <v>64316.987213448068</v>
      </c>
      <c r="E245" s="7">
        <f>IF(PaymentSchedule[[#This Row],[PMT NO]]&lt;&gt;"",ScheduledPayment,"")</f>
        <v>608.02237179106271</v>
      </c>
      <c r="F24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5" s="7">
        <f>IF(PaymentSchedule[[#This Row],[PMT NO]]&lt;&gt;"",PaymentSchedule[[#This Row],[TOTAL PAYMENT]]-PaymentSchedule[[#This Row],[INTEREST]],"")</f>
        <v>366.83366974063244</v>
      </c>
      <c r="I245" s="7">
        <f>IF(PaymentSchedule[[#This Row],[PMT NO]]&lt;&gt;"",PaymentSchedule[[#This Row],[BEGINNING BALANCE]]*(InterestRate/PaymentsPerYear),"")</f>
        <v>241.18870205043024</v>
      </c>
      <c r="J245" s="7">
        <f>IF(PaymentSchedule[[#This Row],[PMT NO]]&lt;&gt;"",IF(PaymentSchedule[[#This Row],[SCHEDULED PAYMENT]]+PaymentSchedule[[#This Row],[EXTRA PAYMENT]]&lt;=PaymentSchedule[[#This Row],[BEGINNING BALANCE]],PaymentSchedule[[#This Row],[BEGINNING BALANCE]]-PaymentSchedule[[#This Row],[PRINCIPAL]],0),"")</f>
        <v>63950.153543707434</v>
      </c>
      <c r="K245" s="7">
        <f>IF(PaymentSchedule[[#This Row],[PMT NO]]&lt;&gt;"",SUM(INDEX([INTEREST],1,1):PaymentSchedule[[#This Row],[INTEREST]]),"")</f>
        <v>81363.209568487699</v>
      </c>
    </row>
    <row r="246" spans="2:11">
      <c r="B246" s="4">
        <f>IF(LoanIsGood,IF(ROW()-ROW(PaymentSchedule[[#Headers],[PMT NO]])&gt;ScheduledNumberOfPayments,"",ROW()-ROW(PaymentSchedule[[#Headers],[PMT NO]])),"")</f>
        <v>227</v>
      </c>
      <c r="C246" s="5">
        <f>IF(PaymentSchedule[[#This Row],[PMT NO]]&lt;&gt;"",EOMONTH(LoanStartDate,ROW(PaymentSchedule[[#This Row],[PMT NO]])-ROW(PaymentSchedule[[#Headers],[PMT NO]])-2)+DAY(LoanStartDate),"")</f>
        <v>50952</v>
      </c>
      <c r="D246" s="7">
        <f>IF(PaymentSchedule[[#This Row],[PMT NO]]&lt;&gt;"",IF(ROW()-ROW(PaymentSchedule[[#Headers],[BEGINNING BALANCE]])=1,LoanAmount,INDEX([ENDING BALANCE],ROW()-ROW(PaymentSchedule[[#Headers],[BEGINNING BALANCE]])-1)),"")</f>
        <v>63950.153543707434</v>
      </c>
      <c r="E246" s="7">
        <f>IF(PaymentSchedule[[#This Row],[PMT NO]]&lt;&gt;"",ScheduledPayment,"")</f>
        <v>608.02237179106271</v>
      </c>
      <c r="F24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6" s="7">
        <f>IF(PaymentSchedule[[#This Row],[PMT NO]]&lt;&gt;"",PaymentSchedule[[#This Row],[TOTAL PAYMENT]]-PaymentSchedule[[#This Row],[INTEREST]],"")</f>
        <v>368.20929600215982</v>
      </c>
      <c r="I246" s="7">
        <f>IF(PaymentSchedule[[#This Row],[PMT NO]]&lt;&gt;"",PaymentSchedule[[#This Row],[BEGINNING BALANCE]]*(InterestRate/PaymentsPerYear),"")</f>
        <v>239.81307578890286</v>
      </c>
      <c r="J246" s="7">
        <f>IF(PaymentSchedule[[#This Row],[PMT NO]]&lt;&gt;"",IF(PaymentSchedule[[#This Row],[SCHEDULED PAYMENT]]+PaymentSchedule[[#This Row],[EXTRA PAYMENT]]&lt;=PaymentSchedule[[#This Row],[BEGINNING BALANCE]],PaymentSchedule[[#This Row],[BEGINNING BALANCE]]-PaymentSchedule[[#This Row],[PRINCIPAL]],0),"")</f>
        <v>63581.944247705273</v>
      </c>
      <c r="K246" s="7">
        <f>IF(PaymentSchedule[[#This Row],[PMT NO]]&lt;&gt;"",SUM(INDEX([INTEREST],1,1):PaymentSchedule[[#This Row],[INTEREST]]),"")</f>
        <v>81603.0226442766</v>
      </c>
    </row>
    <row r="247" spans="2:11">
      <c r="B247" s="4">
        <f>IF(LoanIsGood,IF(ROW()-ROW(PaymentSchedule[[#Headers],[PMT NO]])&gt;ScheduledNumberOfPayments,"",ROW()-ROW(PaymentSchedule[[#Headers],[PMT NO]])),"")</f>
        <v>228</v>
      </c>
      <c r="C247" s="5">
        <f>IF(PaymentSchedule[[#This Row],[PMT NO]]&lt;&gt;"",EOMONTH(LoanStartDate,ROW(PaymentSchedule[[#This Row],[PMT NO]])-ROW(PaymentSchedule[[#Headers],[PMT NO]])-2)+DAY(LoanStartDate),"")</f>
        <v>50983</v>
      </c>
      <c r="D247" s="7">
        <f>IF(PaymentSchedule[[#This Row],[PMT NO]]&lt;&gt;"",IF(ROW()-ROW(PaymentSchedule[[#Headers],[BEGINNING BALANCE]])=1,LoanAmount,INDEX([ENDING BALANCE],ROW()-ROW(PaymentSchedule[[#Headers],[BEGINNING BALANCE]])-1)),"")</f>
        <v>63581.944247705273</v>
      </c>
      <c r="E247" s="7">
        <f>IF(PaymentSchedule[[#This Row],[PMT NO]]&lt;&gt;"",ScheduledPayment,"")</f>
        <v>608.02237179106271</v>
      </c>
      <c r="F24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7" s="7">
        <f>IF(PaymentSchedule[[#This Row],[PMT NO]]&lt;&gt;"",PaymentSchedule[[#This Row],[TOTAL PAYMENT]]-PaymentSchedule[[#This Row],[INTEREST]],"")</f>
        <v>369.59008086216795</v>
      </c>
      <c r="I247" s="7">
        <f>IF(PaymentSchedule[[#This Row],[PMT NO]]&lt;&gt;"",PaymentSchedule[[#This Row],[BEGINNING BALANCE]]*(InterestRate/PaymentsPerYear),"")</f>
        <v>238.43229092889476</v>
      </c>
      <c r="J247" s="7">
        <f>IF(PaymentSchedule[[#This Row],[PMT NO]]&lt;&gt;"",IF(PaymentSchedule[[#This Row],[SCHEDULED PAYMENT]]+PaymentSchedule[[#This Row],[EXTRA PAYMENT]]&lt;=PaymentSchedule[[#This Row],[BEGINNING BALANCE]],PaymentSchedule[[#This Row],[BEGINNING BALANCE]]-PaymentSchedule[[#This Row],[PRINCIPAL]],0),"")</f>
        <v>63212.354166843106</v>
      </c>
      <c r="K247" s="7">
        <f>IF(PaymentSchedule[[#This Row],[PMT NO]]&lt;&gt;"",SUM(INDEX([INTEREST],1,1):PaymentSchedule[[#This Row],[INTEREST]]),"")</f>
        <v>81841.454935205489</v>
      </c>
    </row>
    <row r="248" spans="2:11">
      <c r="B248" s="4">
        <f>IF(LoanIsGood,IF(ROW()-ROW(PaymentSchedule[[#Headers],[PMT NO]])&gt;ScheduledNumberOfPayments,"",ROW()-ROW(PaymentSchedule[[#Headers],[PMT NO]])),"")</f>
        <v>229</v>
      </c>
      <c r="C248" s="5">
        <f>IF(PaymentSchedule[[#This Row],[PMT NO]]&lt;&gt;"",EOMONTH(LoanStartDate,ROW(PaymentSchedule[[#This Row],[PMT NO]])-ROW(PaymentSchedule[[#Headers],[PMT NO]])-2)+DAY(LoanStartDate),"")</f>
        <v>51014</v>
      </c>
      <c r="D248" s="7">
        <f>IF(PaymentSchedule[[#This Row],[PMT NO]]&lt;&gt;"",IF(ROW()-ROW(PaymentSchedule[[#Headers],[BEGINNING BALANCE]])=1,LoanAmount,INDEX([ENDING BALANCE],ROW()-ROW(PaymentSchedule[[#Headers],[BEGINNING BALANCE]])-1)),"")</f>
        <v>63212.354166843106</v>
      </c>
      <c r="E248" s="7">
        <f>IF(PaymentSchedule[[#This Row],[PMT NO]]&lt;&gt;"",ScheduledPayment,"")</f>
        <v>608.02237179106271</v>
      </c>
      <c r="F24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8" s="7">
        <f>IF(PaymentSchedule[[#This Row],[PMT NO]]&lt;&gt;"",PaymentSchedule[[#This Row],[TOTAL PAYMENT]]-PaymentSchedule[[#This Row],[INTEREST]],"")</f>
        <v>370.97604366540111</v>
      </c>
      <c r="I248" s="7">
        <f>IF(PaymentSchedule[[#This Row],[PMT NO]]&lt;&gt;"",PaymentSchedule[[#This Row],[BEGINNING BALANCE]]*(InterestRate/PaymentsPerYear),"")</f>
        <v>237.04632812566163</v>
      </c>
      <c r="J248" s="7">
        <f>IF(PaymentSchedule[[#This Row],[PMT NO]]&lt;&gt;"",IF(PaymentSchedule[[#This Row],[SCHEDULED PAYMENT]]+PaymentSchedule[[#This Row],[EXTRA PAYMENT]]&lt;=PaymentSchedule[[#This Row],[BEGINNING BALANCE]],PaymentSchedule[[#This Row],[BEGINNING BALANCE]]-PaymentSchedule[[#This Row],[PRINCIPAL]],0),"")</f>
        <v>62841.378123177703</v>
      </c>
      <c r="K248" s="7">
        <f>IF(PaymentSchedule[[#This Row],[PMT NO]]&lt;&gt;"",SUM(INDEX([INTEREST],1,1):PaymentSchedule[[#This Row],[INTEREST]]),"")</f>
        <v>82078.501263331156</v>
      </c>
    </row>
    <row r="249" spans="2:11">
      <c r="B249" s="4">
        <f>IF(LoanIsGood,IF(ROW()-ROW(PaymentSchedule[[#Headers],[PMT NO]])&gt;ScheduledNumberOfPayments,"",ROW()-ROW(PaymentSchedule[[#Headers],[PMT NO]])),"")</f>
        <v>230</v>
      </c>
      <c r="C249" s="5">
        <f>IF(PaymentSchedule[[#This Row],[PMT NO]]&lt;&gt;"",EOMONTH(LoanStartDate,ROW(PaymentSchedule[[#This Row],[PMT NO]])-ROW(PaymentSchedule[[#Headers],[PMT NO]])-2)+DAY(LoanStartDate),"")</f>
        <v>51044</v>
      </c>
      <c r="D249" s="7">
        <f>IF(PaymentSchedule[[#This Row],[PMT NO]]&lt;&gt;"",IF(ROW()-ROW(PaymentSchedule[[#Headers],[BEGINNING BALANCE]])=1,LoanAmount,INDEX([ENDING BALANCE],ROW()-ROW(PaymentSchedule[[#Headers],[BEGINNING BALANCE]])-1)),"")</f>
        <v>62841.378123177703</v>
      </c>
      <c r="E249" s="7">
        <f>IF(PaymentSchedule[[#This Row],[PMT NO]]&lt;&gt;"",ScheduledPayment,"")</f>
        <v>608.02237179106271</v>
      </c>
      <c r="F24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4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49" s="7">
        <f>IF(PaymentSchedule[[#This Row],[PMT NO]]&lt;&gt;"",PaymentSchedule[[#This Row],[TOTAL PAYMENT]]-PaymentSchedule[[#This Row],[INTEREST]],"")</f>
        <v>372.36720382914632</v>
      </c>
      <c r="I249" s="7">
        <f>IF(PaymentSchedule[[#This Row],[PMT NO]]&lt;&gt;"",PaymentSchedule[[#This Row],[BEGINNING BALANCE]]*(InterestRate/PaymentsPerYear),"")</f>
        <v>235.65516796191639</v>
      </c>
      <c r="J249" s="7">
        <f>IF(PaymentSchedule[[#This Row],[PMT NO]]&lt;&gt;"",IF(PaymentSchedule[[#This Row],[SCHEDULED PAYMENT]]+PaymentSchedule[[#This Row],[EXTRA PAYMENT]]&lt;=PaymentSchedule[[#This Row],[BEGINNING BALANCE]],PaymentSchedule[[#This Row],[BEGINNING BALANCE]]-PaymentSchedule[[#This Row],[PRINCIPAL]],0),"")</f>
        <v>62469.010919348555</v>
      </c>
      <c r="K249" s="7">
        <f>IF(PaymentSchedule[[#This Row],[PMT NO]]&lt;&gt;"",SUM(INDEX([INTEREST],1,1):PaymentSchedule[[#This Row],[INTEREST]]),"")</f>
        <v>82314.156431293071</v>
      </c>
    </row>
    <row r="250" spans="2:11">
      <c r="B250" s="4">
        <f>IF(LoanIsGood,IF(ROW()-ROW(PaymentSchedule[[#Headers],[PMT NO]])&gt;ScheduledNumberOfPayments,"",ROW()-ROW(PaymentSchedule[[#Headers],[PMT NO]])),"")</f>
        <v>231</v>
      </c>
      <c r="C250" s="5">
        <f>IF(PaymentSchedule[[#This Row],[PMT NO]]&lt;&gt;"",EOMONTH(LoanStartDate,ROW(PaymentSchedule[[#This Row],[PMT NO]])-ROW(PaymentSchedule[[#Headers],[PMT NO]])-2)+DAY(LoanStartDate),"")</f>
        <v>51075</v>
      </c>
      <c r="D250" s="7">
        <f>IF(PaymentSchedule[[#This Row],[PMT NO]]&lt;&gt;"",IF(ROW()-ROW(PaymentSchedule[[#Headers],[BEGINNING BALANCE]])=1,LoanAmount,INDEX([ENDING BALANCE],ROW()-ROW(PaymentSchedule[[#Headers],[BEGINNING BALANCE]])-1)),"")</f>
        <v>62469.010919348555</v>
      </c>
      <c r="E250" s="7">
        <f>IF(PaymentSchedule[[#This Row],[PMT NO]]&lt;&gt;"",ScheduledPayment,"")</f>
        <v>608.02237179106271</v>
      </c>
      <c r="F25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0" s="7">
        <f>IF(PaymentSchedule[[#This Row],[PMT NO]]&lt;&gt;"",PaymentSchedule[[#This Row],[TOTAL PAYMENT]]-PaymentSchedule[[#This Row],[INTEREST]],"")</f>
        <v>373.76358084350568</v>
      </c>
      <c r="I250" s="7">
        <f>IF(PaymentSchedule[[#This Row],[PMT NO]]&lt;&gt;"",PaymentSchedule[[#This Row],[BEGINNING BALANCE]]*(InterestRate/PaymentsPerYear),"")</f>
        <v>234.25879094755706</v>
      </c>
      <c r="J250" s="7">
        <f>IF(PaymentSchedule[[#This Row],[PMT NO]]&lt;&gt;"",IF(PaymentSchedule[[#This Row],[SCHEDULED PAYMENT]]+PaymentSchedule[[#This Row],[EXTRA PAYMENT]]&lt;=PaymentSchedule[[#This Row],[BEGINNING BALANCE]],PaymentSchedule[[#This Row],[BEGINNING BALANCE]]-PaymentSchedule[[#This Row],[PRINCIPAL]],0),"")</f>
        <v>62095.247338505047</v>
      </c>
      <c r="K250" s="7">
        <f>IF(PaymentSchedule[[#This Row],[PMT NO]]&lt;&gt;"",SUM(INDEX([INTEREST],1,1):PaymentSchedule[[#This Row],[INTEREST]]),"")</f>
        <v>82548.415222240626</v>
      </c>
    </row>
    <row r="251" spans="2:11">
      <c r="B251" s="4">
        <f>IF(LoanIsGood,IF(ROW()-ROW(PaymentSchedule[[#Headers],[PMT NO]])&gt;ScheduledNumberOfPayments,"",ROW()-ROW(PaymentSchedule[[#Headers],[PMT NO]])),"")</f>
        <v>232</v>
      </c>
      <c r="C251" s="5">
        <f>IF(PaymentSchedule[[#This Row],[PMT NO]]&lt;&gt;"",EOMONTH(LoanStartDate,ROW(PaymentSchedule[[#This Row],[PMT NO]])-ROW(PaymentSchedule[[#Headers],[PMT NO]])-2)+DAY(LoanStartDate),"")</f>
        <v>51105</v>
      </c>
      <c r="D251" s="7">
        <f>IF(PaymentSchedule[[#This Row],[PMT NO]]&lt;&gt;"",IF(ROW()-ROW(PaymentSchedule[[#Headers],[BEGINNING BALANCE]])=1,LoanAmount,INDEX([ENDING BALANCE],ROW()-ROW(PaymentSchedule[[#Headers],[BEGINNING BALANCE]])-1)),"")</f>
        <v>62095.247338505047</v>
      </c>
      <c r="E251" s="7">
        <f>IF(PaymentSchedule[[#This Row],[PMT NO]]&lt;&gt;"",ScheduledPayment,"")</f>
        <v>608.02237179106271</v>
      </c>
      <c r="F25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1" s="7">
        <f>IF(PaymentSchedule[[#This Row],[PMT NO]]&lt;&gt;"",PaymentSchedule[[#This Row],[TOTAL PAYMENT]]-PaymentSchedule[[#This Row],[INTEREST]],"")</f>
        <v>375.16519427166878</v>
      </c>
      <c r="I251" s="7">
        <f>IF(PaymentSchedule[[#This Row],[PMT NO]]&lt;&gt;"",PaymentSchedule[[#This Row],[BEGINNING BALANCE]]*(InterestRate/PaymentsPerYear),"")</f>
        <v>232.85717751939393</v>
      </c>
      <c r="J251" s="7">
        <f>IF(PaymentSchedule[[#This Row],[PMT NO]]&lt;&gt;"",IF(PaymentSchedule[[#This Row],[SCHEDULED PAYMENT]]+PaymentSchedule[[#This Row],[EXTRA PAYMENT]]&lt;=PaymentSchedule[[#This Row],[BEGINNING BALANCE]],PaymentSchedule[[#This Row],[BEGINNING BALANCE]]-PaymentSchedule[[#This Row],[PRINCIPAL]],0),"")</f>
        <v>61720.082144233376</v>
      </c>
      <c r="K251" s="7">
        <f>IF(PaymentSchedule[[#This Row],[PMT NO]]&lt;&gt;"",SUM(INDEX([INTEREST],1,1):PaymentSchedule[[#This Row],[INTEREST]]),"")</f>
        <v>82781.272399760026</v>
      </c>
    </row>
    <row r="252" spans="2:11">
      <c r="B252" s="4">
        <f>IF(LoanIsGood,IF(ROW()-ROW(PaymentSchedule[[#Headers],[PMT NO]])&gt;ScheduledNumberOfPayments,"",ROW()-ROW(PaymentSchedule[[#Headers],[PMT NO]])),"")</f>
        <v>233</v>
      </c>
      <c r="C252" s="5">
        <f>IF(PaymentSchedule[[#This Row],[PMT NO]]&lt;&gt;"",EOMONTH(LoanStartDate,ROW(PaymentSchedule[[#This Row],[PMT NO]])-ROW(PaymentSchedule[[#Headers],[PMT NO]])-2)+DAY(LoanStartDate),"")</f>
        <v>51136</v>
      </c>
      <c r="D252" s="7">
        <f>IF(PaymentSchedule[[#This Row],[PMT NO]]&lt;&gt;"",IF(ROW()-ROW(PaymentSchedule[[#Headers],[BEGINNING BALANCE]])=1,LoanAmount,INDEX([ENDING BALANCE],ROW()-ROW(PaymentSchedule[[#Headers],[BEGINNING BALANCE]])-1)),"")</f>
        <v>61720.082144233376</v>
      </c>
      <c r="E252" s="7">
        <f>IF(PaymentSchedule[[#This Row],[PMT NO]]&lt;&gt;"",ScheduledPayment,"")</f>
        <v>608.02237179106271</v>
      </c>
      <c r="F25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2" s="7">
        <f>IF(PaymentSchedule[[#This Row],[PMT NO]]&lt;&gt;"",PaymentSchedule[[#This Row],[TOTAL PAYMENT]]-PaymentSchedule[[#This Row],[INTEREST]],"")</f>
        <v>376.57206375018757</v>
      </c>
      <c r="I252" s="7">
        <f>IF(PaymentSchedule[[#This Row],[PMT NO]]&lt;&gt;"",PaymentSchedule[[#This Row],[BEGINNING BALANCE]]*(InterestRate/PaymentsPerYear),"")</f>
        <v>231.45030804087514</v>
      </c>
      <c r="J252" s="7">
        <f>IF(PaymentSchedule[[#This Row],[PMT NO]]&lt;&gt;"",IF(PaymentSchedule[[#This Row],[SCHEDULED PAYMENT]]+PaymentSchedule[[#This Row],[EXTRA PAYMENT]]&lt;=PaymentSchedule[[#This Row],[BEGINNING BALANCE]],PaymentSchedule[[#This Row],[BEGINNING BALANCE]]-PaymentSchedule[[#This Row],[PRINCIPAL]],0),"")</f>
        <v>61343.510080483189</v>
      </c>
      <c r="K252" s="7">
        <f>IF(PaymentSchedule[[#This Row],[PMT NO]]&lt;&gt;"",SUM(INDEX([INTEREST],1,1):PaymentSchedule[[#This Row],[INTEREST]]),"")</f>
        <v>83012.722707800902</v>
      </c>
    </row>
    <row r="253" spans="2:11">
      <c r="B253" s="4">
        <f>IF(LoanIsGood,IF(ROW()-ROW(PaymentSchedule[[#Headers],[PMT NO]])&gt;ScheduledNumberOfPayments,"",ROW()-ROW(PaymentSchedule[[#Headers],[PMT NO]])),"")</f>
        <v>234</v>
      </c>
      <c r="C253" s="5">
        <f>IF(PaymentSchedule[[#This Row],[PMT NO]]&lt;&gt;"",EOMONTH(LoanStartDate,ROW(PaymentSchedule[[#This Row],[PMT NO]])-ROW(PaymentSchedule[[#Headers],[PMT NO]])-2)+DAY(LoanStartDate),"")</f>
        <v>51167</v>
      </c>
      <c r="D253" s="7">
        <f>IF(PaymentSchedule[[#This Row],[PMT NO]]&lt;&gt;"",IF(ROW()-ROW(PaymentSchedule[[#Headers],[BEGINNING BALANCE]])=1,LoanAmount,INDEX([ENDING BALANCE],ROW()-ROW(PaymentSchedule[[#Headers],[BEGINNING BALANCE]])-1)),"")</f>
        <v>61343.510080483189</v>
      </c>
      <c r="E253" s="7">
        <f>IF(PaymentSchedule[[#This Row],[PMT NO]]&lt;&gt;"",ScheduledPayment,"")</f>
        <v>608.02237179106271</v>
      </c>
      <c r="F25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3" s="7">
        <f>IF(PaymentSchedule[[#This Row],[PMT NO]]&lt;&gt;"",PaymentSchedule[[#This Row],[TOTAL PAYMENT]]-PaymentSchedule[[#This Row],[INTEREST]],"")</f>
        <v>377.98420898925076</v>
      </c>
      <c r="I253" s="7">
        <f>IF(PaymentSchedule[[#This Row],[PMT NO]]&lt;&gt;"",PaymentSchedule[[#This Row],[BEGINNING BALANCE]]*(InterestRate/PaymentsPerYear),"")</f>
        <v>230.03816280181195</v>
      </c>
      <c r="J253" s="7">
        <f>IF(PaymentSchedule[[#This Row],[PMT NO]]&lt;&gt;"",IF(PaymentSchedule[[#This Row],[SCHEDULED PAYMENT]]+PaymentSchedule[[#This Row],[EXTRA PAYMENT]]&lt;=PaymentSchedule[[#This Row],[BEGINNING BALANCE]],PaymentSchedule[[#This Row],[BEGINNING BALANCE]]-PaymentSchedule[[#This Row],[PRINCIPAL]],0),"")</f>
        <v>60965.525871493941</v>
      </c>
      <c r="K253" s="7">
        <f>IF(PaymentSchedule[[#This Row],[PMT NO]]&lt;&gt;"",SUM(INDEX([INTEREST],1,1):PaymentSchedule[[#This Row],[INTEREST]]),"")</f>
        <v>83242.760870602709</v>
      </c>
    </row>
    <row r="254" spans="2:11">
      <c r="B254" s="4">
        <f>IF(LoanIsGood,IF(ROW()-ROW(PaymentSchedule[[#Headers],[PMT NO]])&gt;ScheduledNumberOfPayments,"",ROW()-ROW(PaymentSchedule[[#Headers],[PMT NO]])),"")</f>
        <v>235</v>
      </c>
      <c r="C254" s="5">
        <f>IF(PaymentSchedule[[#This Row],[PMT NO]]&lt;&gt;"",EOMONTH(LoanStartDate,ROW(PaymentSchedule[[#This Row],[PMT NO]])-ROW(PaymentSchedule[[#Headers],[PMT NO]])-2)+DAY(LoanStartDate),"")</f>
        <v>51196</v>
      </c>
      <c r="D254" s="7">
        <f>IF(PaymentSchedule[[#This Row],[PMT NO]]&lt;&gt;"",IF(ROW()-ROW(PaymentSchedule[[#Headers],[BEGINNING BALANCE]])=1,LoanAmount,INDEX([ENDING BALANCE],ROW()-ROW(PaymentSchedule[[#Headers],[BEGINNING BALANCE]])-1)),"")</f>
        <v>60965.525871493941</v>
      </c>
      <c r="E254" s="7">
        <f>IF(PaymentSchedule[[#This Row],[PMT NO]]&lt;&gt;"",ScheduledPayment,"")</f>
        <v>608.02237179106271</v>
      </c>
      <c r="F25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4" s="7">
        <f>IF(PaymentSchedule[[#This Row],[PMT NO]]&lt;&gt;"",PaymentSchedule[[#This Row],[TOTAL PAYMENT]]-PaymentSchedule[[#This Row],[INTEREST]],"")</f>
        <v>379.40164977296047</v>
      </c>
      <c r="I254" s="7">
        <f>IF(PaymentSchedule[[#This Row],[PMT NO]]&lt;&gt;"",PaymentSchedule[[#This Row],[BEGINNING BALANCE]]*(InterestRate/PaymentsPerYear),"")</f>
        <v>228.62072201810227</v>
      </c>
      <c r="J254" s="7">
        <f>IF(PaymentSchedule[[#This Row],[PMT NO]]&lt;&gt;"",IF(PaymentSchedule[[#This Row],[SCHEDULED PAYMENT]]+PaymentSchedule[[#This Row],[EXTRA PAYMENT]]&lt;=PaymentSchedule[[#This Row],[BEGINNING BALANCE]],PaymentSchedule[[#This Row],[BEGINNING BALANCE]]-PaymentSchedule[[#This Row],[PRINCIPAL]],0),"")</f>
        <v>60586.12422172098</v>
      </c>
      <c r="K254" s="7">
        <f>IF(PaymentSchedule[[#This Row],[PMT NO]]&lt;&gt;"",SUM(INDEX([INTEREST],1,1):PaymentSchedule[[#This Row],[INTEREST]]),"")</f>
        <v>83471.381592620819</v>
      </c>
    </row>
    <row r="255" spans="2:11">
      <c r="B255" s="4">
        <f>IF(LoanIsGood,IF(ROW()-ROW(PaymentSchedule[[#Headers],[PMT NO]])&gt;ScheduledNumberOfPayments,"",ROW()-ROW(PaymentSchedule[[#Headers],[PMT NO]])),"")</f>
        <v>236</v>
      </c>
      <c r="C255" s="5">
        <f>IF(PaymentSchedule[[#This Row],[PMT NO]]&lt;&gt;"",EOMONTH(LoanStartDate,ROW(PaymentSchedule[[#This Row],[PMT NO]])-ROW(PaymentSchedule[[#Headers],[PMT NO]])-2)+DAY(LoanStartDate),"")</f>
        <v>51227</v>
      </c>
      <c r="D255" s="7">
        <f>IF(PaymentSchedule[[#This Row],[PMT NO]]&lt;&gt;"",IF(ROW()-ROW(PaymentSchedule[[#Headers],[BEGINNING BALANCE]])=1,LoanAmount,INDEX([ENDING BALANCE],ROW()-ROW(PaymentSchedule[[#Headers],[BEGINNING BALANCE]])-1)),"")</f>
        <v>60586.12422172098</v>
      </c>
      <c r="E255" s="7">
        <f>IF(PaymentSchedule[[#This Row],[PMT NO]]&lt;&gt;"",ScheduledPayment,"")</f>
        <v>608.02237179106271</v>
      </c>
      <c r="F25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5" s="7">
        <f>IF(PaymentSchedule[[#This Row],[PMT NO]]&lt;&gt;"",PaymentSchedule[[#This Row],[TOTAL PAYMENT]]-PaymentSchedule[[#This Row],[INTEREST]],"")</f>
        <v>380.82440595960907</v>
      </c>
      <c r="I255" s="7">
        <f>IF(PaymentSchedule[[#This Row],[PMT NO]]&lt;&gt;"",PaymentSchedule[[#This Row],[BEGINNING BALANCE]]*(InterestRate/PaymentsPerYear),"")</f>
        <v>227.19796583145367</v>
      </c>
      <c r="J255" s="7">
        <f>IF(PaymentSchedule[[#This Row],[PMT NO]]&lt;&gt;"",IF(PaymentSchedule[[#This Row],[SCHEDULED PAYMENT]]+PaymentSchedule[[#This Row],[EXTRA PAYMENT]]&lt;=PaymentSchedule[[#This Row],[BEGINNING BALANCE]],PaymentSchedule[[#This Row],[BEGINNING BALANCE]]-PaymentSchedule[[#This Row],[PRINCIPAL]],0),"")</f>
        <v>60205.299815761369</v>
      </c>
      <c r="K255" s="7">
        <f>IF(PaymentSchedule[[#This Row],[PMT NO]]&lt;&gt;"",SUM(INDEX([INTEREST],1,1):PaymentSchedule[[#This Row],[INTEREST]]),"")</f>
        <v>83698.579558452271</v>
      </c>
    </row>
    <row r="256" spans="2:11">
      <c r="B256" s="4">
        <f>IF(LoanIsGood,IF(ROW()-ROW(PaymentSchedule[[#Headers],[PMT NO]])&gt;ScheduledNumberOfPayments,"",ROW()-ROW(PaymentSchedule[[#Headers],[PMT NO]])),"")</f>
        <v>237</v>
      </c>
      <c r="C256" s="5">
        <f>IF(PaymentSchedule[[#This Row],[PMT NO]]&lt;&gt;"",EOMONTH(LoanStartDate,ROW(PaymentSchedule[[#This Row],[PMT NO]])-ROW(PaymentSchedule[[#Headers],[PMT NO]])-2)+DAY(LoanStartDate),"")</f>
        <v>51257</v>
      </c>
      <c r="D256" s="7">
        <f>IF(PaymentSchedule[[#This Row],[PMT NO]]&lt;&gt;"",IF(ROW()-ROW(PaymentSchedule[[#Headers],[BEGINNING BALANCE]])=1,LoanAmount,INDEX([ENDING BALANCE],ROW()-ROW(PaymentSchedule[[#Headers],[BEGINNING BALANCE]])-1)),"")</f>
        <v>60205.299815761369</v>
      </c>
      <c r="E256" s="7">
        <f>IF(PaymentSchedule[[#This Row],[PMT NO]]&lt;&gt;"",ScheduledPayment,"")</f>
        <v>608.02237179106271</v>
      </c>
      <c r="F25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6" s="7">
        <f>IF(PaymentSchedule[[#This Row],[PMT NO]]&lt;&gt;"",PaymentSchedule[[#This Row],[TOTAL PAYMENT]]-PaymentSchedule[[#This Row],[INTEREST]],"")</f>
        <v>382.25249748195756</v>
      </c>
      <c r="I256" s="7">
        <f>IF(PaymentSchedule[[#This Row],[PMT NO]]&lt;&gt;"",PaymentSchedule[[#This Row],[BEGINNING BALANCE]]*(InterestRate/PaymentsPerYear),"")</f>
        <v>225.76987430910512</v>
      </c>
      <c r="J256" s="7">
        <f>IF(PaymentSchedule[[#This Row],[PMT NO]]&lt;&gt;"",IF(PaymentSchedule[[#This Row],[SCHEDULED PAYMENT]]+PaymentSchedule[[#This Row],[EXTRA PAYMENT]]&lt;=PaymentSchedule[[#This Row],[BEGINNING BALANCE]],PaymentSchedule[[#This Row],[BEGINNING BALANCE]]-PaymentSchedule[[#This Row],[PRINCIPAL]],0),"")</f>
        <v>59823.047318279409</v>
      </c>
      <c r="K256" s="7">
        <f>IF(PaymentSchedule[[#This Row],[PMT NO]]&lt;&gt;"",SUM(INDEX([INTEREST],1,1):PaymentSchedule[[#This Row],[INTEREST]]),"")</f>
        <v>83924.349432761373</v>
      </c>
    </row>
    <row r="257" spans="2:11">
      <c r="B257" s="4">
        <f>IF(LoanIsGood,IF(ROW()-ROW(PaymentSchedule[[#Headers],[PMT NO]])&gt;ScheduledNumberOfPayments,"",ROW()-ROW(PaymentSchedule[[#Headers],[PMT NO]])),"")</f>
        <v>238</v>
      </c>
      <c r="C257" s="5">
        <f>IF(PaymentSchedule[[#This Row],[PMT NO]]&lt;&gt;"",EOMONTH(LoanStartDate,ROW(PaymentSchedule[[#This Row],[PMT NO]])-ROW(PaymentSchedule[[#Headers],[PMT NO]])-2)+DAY(LoanStartDate),"")</f>
        <v>51288</v>
      </c>
      <c r="D257" s="7">
        <f>IF(PaymentSchedule[[#This Row],[PMT NO]]&lt;&gt;"",IF(ROW()-ROW(PaymentSchedule[[#Headers],[BEGINNING BALANCE]])=1,LoanAmount,INDEX([ENDING BALANCE],ROW()-ROW(PaymentSchedule[[#Headers],[BEGINNING BALANCE]])-1)),"")</f>
        <v>59823.047318279409</v>
      </c>
      <c r="E257" s="7">
        <f>IF(PaymentSchedule[[#This Row],[PMT NO]]&lt;&gt;"",ScheduledPayment,"")</f>
        <v>608.02237179106271</v>
      </c>
      <c r="F25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7" s="7">
        <f>IF(PaymentSchedule[[#This Row],[PMT NO]]&lt;&gt;"",PaymentSchedule[[#This Row],[TOTAL PAYMENT]]-PaymentSchedule[[#This Row],[INTEREST]],"")</f>
        <v>383.68594434751492</v>
      </c>
      <c r="I257" s="7">
        <f>IF(PaymentSchedule[[#This Row],[PMT NO]]&lt;&gt;"",PaymentSchedule[[#This Row],[BEGINNING BALANCE]]*(InterestRate/PaymentsPerYear),"")</f>
        <v>224.33642744354776</v>
      </c>
      <c r="J257" s="7">
        <f>IF(PaymentSchedule[[#This Row],[PMT NO]]&lt;&gt;"",IF(PaymentSchedule[[#This Row],[SCHEDULED PAYMENT]]+PaymentSchedule[[#This Row],[EXTRA PAYMENT]]&lt;=PaymentSchedule[[#This Row],[BEGINNING BALANCE]],PaymentSchedule[[#This Row],[BEGINNING BALANCE]]-PaymentSchedule[[#This Row],[PRINCIPAL]],0),"")</f>
        <v>59439.361373931897</v>
      </c>
      <c r="K257" s="7">
        <f>IF(PaymentSchedule[[#This Row],[PMT NO]]&lt;&gt;"",SUM(INDEX([INTEREST],1,1):PaymentSchedule[[#This Row],[INTEREST]]),"")</f>
        <v>84148.685860204918</v>
      </c>
    </row>
    <row r="258" spans="2:11">
      <c r="B258" s="4">
        <f>IF(LoanIsGood,IF(ROW()-ROW(PaymentSchedule[[#Headers],[PMT NO]])&gt;ScheduledNumberOfPayments,"",ROW()-ROW(PaymentSchedule[[#Headers],[PMT NO]])),"")</f>
        <v>239</v>
      </c>
      <c r="C258" s="5">
        <f>IF(PaymentSchedule[[#This Row],[PMT NO]]&lt;&gt;"",EOMONTH(LoanStartDate,ROW(PaymentSchedule[[#This Row],[PMT NO]])-ROW(PaymentSchedule[[#Headers],[PMT NO]])-2)+DAY(LoanStartDate),"")</f>
        <v>51318</v>
      </c>
      <c r="D258" s="7">
        <f>IF(PaymentSchedule[[#This Row],[PMT NO]]&lt;&gt;"",IF(ROW()-ROW(PaymentSchedule[[#Headers],[BEGINNING BALANCE]])=1,LoanAmount,INDEX([ENDING BALANCE],ROW()-ROW(PaymentSchedule[[#Headers],[BEGINNING BALANCE]])-1)),"")</f>
        <v>59439.361373931897</v>
      </c>
      <c r="E258" s="7">
        <f>IF(PaymentSchedule[[#This Row],[PMT NO]]&lt;&gt;"",ScheduledPayment,"")</f>
        <v>608.02237179106271</v>
      </c>
      <c r="F25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8" s="7">
        <f>IF(PaymentSchedule[[#This Row],[PMT NO]]&lt;&gt;"",PaymentSchedule[[#This Row],[TOTAL PAYMENT]]-PaymentSchedule[[#This Row],[INTEREST]],"")</f>
        <v>385.12476663881807</v>
      </c>
      <c r="I258" s="7">
        <f>IF(PaymentSchedule[[#This Row],[PMT NO]]&lt;&gt;"",PaymentSchedule[[#This Row],[BEGINNING BALANCE]]*(InterestRate/PaymentsPerYear),"")</f>
        <v>222.89760515224461</v>
      </c>
      <c r="J258" s="7">
        <f>IF(PaymentSchedule[[#This Row],[PMT NO]]&lt;&gt;"",IF(PaymentSchedule[[#This Row],[SCHEDULED PAYMENT]]+PaymentSchedule[[#This Row],[EXTRA PAYMENT]]&lt;=PaymentSchedule[[#This Row],[BEGINNING BALANCE]],PaymentSchedule[[#This Row],[BEGINNING BALANCE]]-PaymentSchedule[[#This Row],[PRINCIPAL]],0),"")</f>
        <v>59054.236607293082</v>
      </c>
      <c r="K258" s="7">
        <f>IF(PaymentSchedule[[#This Row],[PMT NO]]&lt;&gt;"",SUM(INDEX([INTEREST],1,1):PaymentSchedule[[#This Row],[INTEREST]]),"")</f>
        <v>84371.583465357166</v>
      </c>
    </row>
    <row r="259" spans="2:11">
      <c r="B259" s="4">
        <f>IF(LoanIsGood,IF(ROW()-ROW(PaymentSchedule[[#Headers],[PMT NO]])&gt;ScheduledNumberOfPayments,"",ROW()-ROW(PaymentSchedule[[#Headers],[PMT NO]])),"")</f>
        <v>240</v>
      </c>
      <c r="C259" s="5">
        <f>IF(PaymentSchedule[[#This Row],[PMT NO]]&lt;&gt;"",EOMONTH(LoanStartDate,ROW(PaymentSchedule[[#This Row],[PMT NO]])-ROW(PaymentSchedule[[#Headers],[PMT NO]])-2)+DAY(LoanStartDate),"")</f>
        <v>51349</v>
      </c>
      <c r="D259" s="7">
        <f>IF(PaymentSchedule[[#This Row],[PMT NO]]&lt;&gt;"",IF(ROW()-ROW(PaymentSchedule[[#Headers],[BEGINNING BALANCE]])=1,LoanAmount,INDEX([ENDING BALANCE],ROW()-ROW(PaymentSchedule[[#Headers],[BEGINNING BALANCE]])-1)),"")</f>
        <v>59054.236607293082</v>
      </c>
      <c r="E259" s="7">
        <f>IF(PaymentSchedule[[#This Row],[PMT NO]]&lt;&gt;"",ScheduledPayment,"")</f>
        <v>608.02237179106271</v>
      </c>
      <c r="F25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5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59" s="7">
        <f>IF(PaymentSchedule[[#This Row],[PMT NO]]&lt;&gt;"",PaymentSchedule[[#This Row],[TOTAL PAYMENT]]-PaymentSchedule[[#This Row],[INTEREST]],"")</f>
        <v>386.56898451371364</v>
      </c>
      <c r="I259" s="7">
        <f>IF(PaymentSchedule[[#This Row],[PMT NO]]&lt;&gt;"",PaymentSchedule[[#This Row],[BEGINNING BALANCE]]*(InterestRate/PaymentsPerYear),"")</f>
        <v>221.45338727734904</v>
      </c>
      <c r="J259" s="7">
        <f>IF(PaymentSchedule[[#This Row],[PMT NO]]&lt;&gt;"",IF(PaymentSchedule[[#This Row],[SCHEDULED PAYMENT]]+PaymentSchedule[[#This Row],[EXTRA PAYMENT]]&lt;=PaymentSchedule[[#This Row],[BEGINNING BALANCE]],PaymentSchedule[[#This Row],[BEGINNING BALANCE]]-PaymentSchedule[[#This Row],[PRINCIPAL]],0),"")</f>
        <v>58667.667622779365</v>
      </c>
      <c r="K259" s="7">
        <f>IF(PaymentSchedule[[#This Row],[PMT NO]]&lt;&gt;"",SUM(INDEX([INTEREST],1,1):PaymentSchedule[[#This Row],[INTEREST]]),"")</f>
        <v>84593.036852634512</v>
      </c>
    </row>
    <row r="260" spans="2:11">
      <c r="B260" s="4">
        <f>IF(LoanIsGood,IF(ROW()-ROW(PaymentSchedule[[#Headers],[PMT NO]])&gt;ScheduledNumberOfPayments,"",ROW()-ROW(PaymentSchedule[[#Headers],[PMT NO]])),"")</f>
        <v>241</v>
      </c>
      <c r="C260" s="5">
        <f>IF(PaymentSchedule[[#This Row],[PMT NO]]&lt;&gt;"",EOMONTH(LoanStartDate,ROW(PaymentSchedule[[#This Row],[PMT NO]])-ROW(PaymentSchedule[[#Headers],[PMT NO]])-2)+DAY(LoanStartDate),"")</f>
        <v>51380</v>
      </c>
      <c r="D260" s="7">
        <f>IF(PaymentSchedule[[#This Row],[PMT NO]]&lt;&gt;"",IF(ROW()-ROW(PaymentSchedule[[#Headers],[BEGINNING BALANCE]])=1,LoanAmount,INDEX([ENDING BALANCE],ROW()-ROW(PaymentSchedule[[#Headers],[BEGINNING BALANCE]])-1)),"")</f>
        <v>58667.667622779365</v>
      </c>
      <c r="E260" s="7">
        <f>IF(PaymentSchedule[[#This Row],[PMT NO]]&lt;&gt;"",ScheduledPayment,"")</f>
        <v>608.02237179106271</v>
      </c>
      <c r="F26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0" s="7">
        <f>IF(PaymentSchedule[[#This Row],[PMT NO]]&lt;&gt;"",PaymentSchedule[[#This Row],[TOTAL PAYMENT]]-PaymentSchedule[[#This Row],[INTEREST]],"")</f>
        <v>388.01861820564011</v>
      </c>
      <c r="I260" s="7">
        <f>IF(PaymentSchedule[[#This Row],[PMT NO]]&lt;&gt;"",PaymentSchedule[[#This Row],[BEGINNING BALANCE]]*(InterestRate/PaymentsPerYear),"")</f>
        <v>220.0037535854226</v>
      </c>
      <c r="J260" s="7">
        <f>IF(PaymentSchedule[[#This Row],[PMT NO]]&lt;&gt;"",IF(PaymentSchedule[[#This Row],[SCHEDULED PAYMENT]]+PaymentSchedule[[#This Row],[EXTRA PAYMENT]]&lt;=PaymentSchedule[[#This Row],[BEGINNING BALANCE]],PaymentSchedule[[#This Row],[BEGINNING BALANCE]]-PaymentSchedule[[#This Row],[PRINCIPAL]],0),"")</f>
        <v>58279.649004573723</v>
      </c>
      <c r="K260" s="7">
        <f>IF(PaymentSchedule[[#This Row],[PMT NO]]&lt;&gt;"",SUM(INDEX([INTEREST],1,1):PaymentSchedule[[#This Row],[INTEREST]]),"")</f>
        <v>84813.040606219933</v>
      </c>
    </row>
    <row r="261" spans="2:11">
      <c r="B261" s="4">
        <f>IF(LoanIsGood,IF(ROW()-ROW(PaymentSchedule[[#Headers],[PMT NO]])&gt;ScheduledNumberOfPayments,"",ROW()-ROW(PaymentSchedule[[#Headers],[PMT NO]])),"")</f>
        <v>242</v>
      </c>
      <c r="C261" s="5">
        <f>IF(PaymentSchedule[[#This Row],[PMT NO]]&lt;&gt;"",EOMONTH(LoanStartDate,ROW(PaymentSchedule[[#This Row],[PMT NO]])-ROW(PaymentSchedule[[#Headers],[PMT NO]])-2)+DAY(LoanStartDate),"")</f>
        <v>51410</v>
      </c>
      <c r="D261" s="7">
        <f>IF(PaymentSchedule[[#This Row],[PMT NO]]&lt;&gt;"",IF(ROW()-ROW(PaymentSchedule[[#Headers],[BEGINNING BALANCE]])=1,LoanAmount,INDEX([ENDING BALANCE],ROW()-ROW(PaymentSchedule[[#Headers],[BEGINNING BALANCE]])-1)),"")</f>
        <v>58279.649004573723</v>
      </c>
      <c r="E261" s="7">
        <f>IF(PaymentSchedule[[#This Row],[PMT NO]]&lt;&gt;"",ScheduledPayment,"")</f>
        <v>608.02237179106271</v>
      </c>
      <c r="F26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1" s="7">
        <f>IF(PaymentSchedule[[#This Row],[PMT NO]]&lt;&gt;"",PaymentSchedule[[#This Row],[TOTAL PAYMENT]]-PaymentSchedule[[#This Row],[INTEREST]],"")</f>
        <v>389.47368802391122</v>
      </c>
      <c r="I261" s="7">
        <f>IF(PaymentSchedule[[#This Row],[PMT NO]]&lt;&gt;"",PaymentSchedule[[#This Row],[BEGINNING BALANCE]]*(InterestRate/PaymentsPerYear),"")</f>
        <v>218.54868376715146</v>
      </c>
      <c r="J261" s="7">
        <f>IF(PaymentSchedule[[#This Row],[PMT NO]]&lt;&gt;"",IF(PaymentSchedule[[#This Row],[SCHEDULED PAYMENT]]+PaymentSchedule[[#This Row],[EXTRA PAYMENT]]&lt;=PaymentSchedule[[#This Row],[BEGINNING BALANCE]],PaymentSchedule[[#This Row],[BEGINNING BALANCE]]-PaymentSchedule[[#This Row],[PRINCIPAL]],0),"")</f>
        <v>57890.175316549808</v>
      </c>
      <c r="K261" s="7">
        <f>IF(PaymentSchedule[[#This Row],[PMT NO]]&lt;&gt;"",SUM(INDEX([INTEREST],1,1):PaymentSchedule[[#This Row],[INTEREST]]),"")</f>
        <v>85031.589289987081</v>
      </c>
    </row>
    <row r="262" spans="2:11">
      <c r="B262" s="4">
        <f>IF(LoanIsGood,IF(ROW()-ROW(PaymentSchedule[[#Headers],[PMT NO]])&gt;ScheduledNumberOfPayments,"",ROW()-ROW(PaymentSchedule[[#Headers],[PMT NO]])),"")</f>
        <v>243</v>
      </c>
      <c r="C262" s="5">
        <f>IF(PaymentSchedule[[#This Row],[PMT NO]]&lt;&gt;"",EOMONTH(LoanStartDate,ROW(PaymentSchedule[[#This Row],[PMT NO]])-ROW(PaymentSchedule[[#Headers],[PMT NO]])-2)+DAY(LoanStartDate),"")</f>
        <v>51441</v>
      </c>
      <c r="D262" s="7">
        <f>IF(PaymentSchedule[[#This Row],[PMT NO]]&lt;&gt;"",IF(ROW()-ROW(PaymentSchedule[[#Headers],[BEGINNING BALANCE]])=1,LoanAmount,INDEX([ENDING BALANCE],ROW()-ROW(PaymentSchedule[[#Headers],[BEGINNING BALANCE]])-1)),"")</f>
        <v>57890.175316549808</v>
      </c>
      <c r="E262" s="7">
        <f>IF(PaymentSchedule[[#This Row],[PMT NO]]&lt;&gt;"",ScheduledPayment,"")</f>
        <v>608.02237179106271</v>
      </c>
      <c r="F26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2" s="7">
        <f>IF(PaymentSchedule[[#This Row],[PMT NO]]&lt;&gt;"",PaymentSchedule[[#This Row],[TOTAL PAYMENT]]-PaymentSchedule[[#This Row],[INTEREST]],"")</f>
        <v>390.93421435400091</v>
      </c>
      <c r="I262" s="7">
        <f>IF(PaymentSchedule[[#This Row],[PMT NO]]&lt;&gt;"",PaymentSchedule[[#This Row],[BEGINNING BALANCE]]*(InterestRate/PaymentsPerYear),"")</f>
        <v>217.08815743706177</v>
      </c>
      <c r="J262" s="7">
        <f>IF(PaymentSchedule[[#This Row],[PMT NO]]&lt;&gt;"",IF(PaymentSchedule[[#This Row],[SCHEDULED PAYMENT]]+PaymentSchedule[[#This Row],[EXTRA PAYMENT]]&lt;=PaymentSchedule[[#This Row],[BEGINNING BALANCE]],PaymentSchedule[[#This Row],[BEGINNING BALANCE]]-PaymentSchedule[[#This Row],[PRINCIPAL]],0),"")</f>
        <v>57499.241102195811</v>
      </c>
      <c r="K262" s="7">
        <f>IF(PaymentSchedule[[#This Row],[PMT NO]]&lt;&gt;"",SUM(INDEX([INTEREST],1,1):PaymentSchedule[[#This Row],[INTEREST]]),"")</f>
        <v>85248.677447424139</v>
      </c>
    </row>
    <row r="263" spans="2:11">
      <c r="B263" s="4">
        <f>IF(LoanIsGood,IF(ROW()-ROW(PaymentSchedule[[#Headers],[PMT NO]])&gt;ScheduledNumberOfPayments,"",ROW()-ROW(PaymentSchedule[[#Headers],[PMT NO]])),"")</f>
        <v>244</v>
      </c>
      <c r="C263" s="5">
        <f>IF(PaymentSchedule[[#This Row],[PMT NO]]&lt;&gt;"",EOMONTH(LoanStartDate,ROW(PaymentSchedule[[#This Row],[PMT NO]])-ROW(PaymentSchedule[[#Headers],[PMT NO]])-2)+DAY(LoanStartDate),"")</f>
        <v>51471</v>
      </c>
      <c r="D263" s="7">
        <f>IF(PaymentSchedule[[#This Row],[PMT NO]]&lt;&gt;"",IF(ROW()-ROW(PaymentSchedule[[#Headers],[BEGINNING BALANCE]])=1,LoanAmount,INDEX([ENDING BALANCE],ROW()-ROW(PaymentSchedule[[#Headers],[BEGINNING BALANCE]])-1)),"")</f>
        <v>57499.241102195811</v>
      </c>
      <c r="E263" s="7">
        <f>IF(PaymentSchedule[[#This Row],[PMT NO]]&lt;&gt;"",ScheduledPayment,"")</f>
        <v>608.02237179106271</v>
      </c>
      <c r="F26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3" s="7">
        <f>IF(PaymentSchedule[[#This Row],[PMT NO]]&lt;&gt;"",PaymentSchedule[[#This Row],[TOTAL PAYMENT]]-PaymentSchedule[[#This Row],[INTEREST]],"")</f>
        <v>392.40021765782842</v>
      </c>
      <c r="I263" s="7">
        <f>IF(PaymentSchedule[[#This Row],[PMT NO]]&lt;&gt;"",PaymentSchedule[[#This Row],[BEGINNING BALANCE]]*(InterestRate/PaymentsPerYear),"")</f>
        <v>215.62215413323429</v>
      </c>
      <c r="J263" s="7">
        <f>IF(PaymentSchedule[[#This Row],[PMT NO]]&lt;&gt;"",IF(PaymentSchedule[[#This Row],[SCHEDULED PAYMENT]]+PaymentSchedule[[#This Row],[EXTRA PAYMENT]]&lt;=PaymentSchedule[[#This Row],[BEGINNING BALANCE]],PaymentSchedule[[#This Row],[BEGINNING BALANCE]]-PaymentSchedule[[#This Row],[PRINCIPAL]],0),"")</f>
        <v>57106.840884537982</v>
      </c>
      <c r="K263" s="7">
        <f>IF(PaymentSchedule[[#This Row],[PMT NO]]&lt;&gt;"",SUM(INDEX([INTEREST],1,1):PaymentSchedule[[#This Row],[INTEREST]]),"")</f>
        <v>85464.299601557374</v>
      </c>
    </row>
    <row r="264" spans="2:11">
      <c r="B264" s="4">
        <f>IF(LoanIsGood,IF(ROW()-ROW(PaymentSchedule[[#Headers],[PMT NO]])&gt;ScheduledNumberOfPayments,"",ROW()-ROW(PaymentSchedule[[#Headers],[PMT NO]])),"")</f>
        <v>245</v>
      </c>
      <c r="C264" s="5">
        <f>IF(PaymentSchedule[[#This Row],[PMT NO]]&lt;&gt;"",EOMONTH(LoanStartDate,ROW(PaymentSchedule[[#This Row],[PMT NO]])-ROW(PaymentSchedule[[#Headers],[PMT NO]])-2)+DAY(LoanStartDate),"")</f>
        <v>51502</v>
      </c>
      <c r="D264" s="7">
        <f>IF(PaymentSchedule[[#This Row],[PMT NO]]&lt;&gt;"",IF(ROW()-ROW(PaymentSchedule[[#Headers],[BEGINNING BALANCE]])=1,LoanAmount,INDEX([ENDING BALANCE],ROW()-ROW(PaymentSchedule[[#Headers],[BEGINNING BALANCE]])-1)),"")</f>
        <v>57106.840884537982</v>
      </c>
      <c r="E264" s="7">
        <f>IF(PaymentSchedule[[#This Row],[PMT NO]]&lt;&gt;"",ScheduledPayment,"")</f>
        <v>608.02237179106271</v>
      </c>
      <c r="F26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4" s="7">
        <f>IF(PaymentSchedule[[#This Row],[PMT NO]]&lt;&gt;"",PaymentSchedule[[#This Row],[TOTAL PAYMENT]]-PaymentSchedule[[#This Row],[INTEREST]],"")</f>
        <v>393.87171847404528</v>
      </c>
      <c r="I264" s="7">
        <f>IF(PaymentSchedule[[#This Row],[PMT NO]]&lt;&gt;"",PaymentSchedule[[#This Row],[BEGINNING BALANCE]]*(InterestRate/PaymentsPerYear),"")</f>
        <v>214.15065331701743</v>
      </c>
      <c r="J264" s="7">
        <f>IF(PaymentSchedule[[#This Row],[PMT NO]]&lt;&gt;"",IF(PaymentSchedule[[#This Row],[SCHEDULED PAYMENT]]+PaymentSchedule[[#This Row],[EXTRA PAYMENT]]&lt;=PaymentSchedule[[#This Row],[BEGINNING BALANCE]],PaymentSchedule[[#This Row],[BEGINNING BALANCE]]-PaymentSchedule[[#This Row],[PRINCIPAL]],0),"")</f>
        <v>56712.969166063936</v>
      </c>
      <c r="K264" s="7">
        <f>IF(PaymentSchedule[[#This Row],[PMT NO]]&lt;&gt;"",SUM(INDEX([INTEREST],1,1):PaymentSchedule[[#This Row],[INTEREST]]),"")</f>
        <v>85678.450254874391</v>
      </c>
    </row>
    <row r="265" spans="2:11">
      <c r="B265" s="4">
        <f>IF(LoanIsGood,IF(ROW()-ROW(PaymentSchedule[[#Headers],[PMT NO]])&gt;ScheduledNumberOfPayments,"",ROW()-ROW(PaymentSchedule[[#Headers],[PMT NO]])),"")</f>
        <v>246</v>
      </c>
      <c r="C265" s="5">
        <f>IF(PaymentSchedule[[#This Row],[PMT NO]]&lt;&gt;"",EOMONTH(LoanStartDate,ROW(PaymentSchedule[[#This Row],[PMT NO]])-ROW(PaymentSchedule[[#Headers],[PMT NO]])-2)+DAY(LoanStartDate),"")</f>
        <v>51533</v>
      </c>
      <c r="D265" s="7">
        <f>IF(PaymentSchedule[[#This Row],[PMT NO]]&lt;&gt;"",IF(ROW()-ROW(PaymentSchedule[[#Headers],[BEGINNING BALANCE]])=1,LoanAmount,INDEX([ENDING BALANCE],ROW()-ROW(PaymentSchedule[[#Headers],[BEGINNING BALANCE]])-1)),"")</f>
        <v>56712.969166063936</v>
      </c>
      <c r="E265" s="7">
        <f>IF(PaymentSchedule[[#This Row],[PMT NO]]&lt;&gt;"",ScheduledPayment,"")</f>
        <v>608.02237179106271</v>
      </c>
      <c r="F26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5" s="7">
        <f>IF(PaymentSchedule[[#This Row],[PMT NO]]&lt;&gt;"",PaymentSchedule[[#This Row],[TOTAL PAYMENT]]-PaymentSchedule[[#This Row],[INTEREST]],"")</f>
        <v>395.34873741832297</v>
      </c>
      <c r="I265" s="7">
        <f>IF(PaymentSchedule[[#This Row],[PMT NO]]&lt;&gt;"",PaymentSchedule[[#This Row],[BEGINNING BALANCE]]*(InterestRate/PaymentsPerYear),"")</f>
        <v>212.67363437273974</v>
      </c>
      <c r="J265" s="7">
        <f>IF(PaymentSchedule[[#This Row],[PMT NO]]&lt;&gt;"",IF(PaymentSchedule[[#This Row],[SCHEDULED PAYMENT]]+PaymentSchedule[[#This Row],[EXTRA PAYMENT]]&lt;=PaymentSchedule[[#This Row],[BEGINNING BALANCE]],PaymentSchedule[[#This Row],[BEGINNING BALANCE]]-PaymentSchedule[[#This Row],[PRINCIPAL]],0),"")</f>
        <v>56317.620428645612</v>
      </c>
      <c r="K265" s="7">
        <f>IF(PaymentSchedule[[#This Row],[PMT NO]]&lt;&gt;"",SUM(INDEX([INTEREST],1,1):PaymentSchedule[[#This Row],[INTEREST]]),"")</f>
        <v>85891.12388924713</v>
      </c>
    </row>
    <row r="266" spans="2:11">
      <c r="B266" s="4">
        <f>IF(LoanIsGood,IF(ROW()-ROW(PaymentSchedule[[#Headers],[PMT NO]])&gt;ScheduledNumberOfPayments,"",ROW()-ROW(PaymentSchedule[[#Headers],[PMT NO]])),"")</f>
        <v>247</v>
      </c>
      <c r="C266" s="5">
        <f>IF(PaymentSchedule[[#This Row],[PMT NO]]&lt;&gt;"",EOMONTH(LoanStartDate,ROW(PaymentSchedule[[#This Row],[PMT NO]])-ROW(PaymentSchedule[[#Headers],[PMT NO]])-2)+DAY(LoanStartDate),"")</f>
        <v>51561</v>
      </c>
      <c r="D266" s="7">
        <f>IF(PaymentSchedule[[#This Row],[PMT NO]]&lt;&gt;"",IF(ROW()-ROW(PaymentSchedule[[#Headers],[BEGINNING BALANCE]])=1,LoanAmount,INDEX([ENDING BALANCE],ROW()-ROW(PaymentSchedule[[#Headers],[BEGINNING BALANCE]])-1)),"")</f>
        <v>56317.620428645612</v>
      </c>
      <c r="E266" s="7">
        <f>IF(PaymentSchedule[[#This Row],[PMT NO]]&lt;&gt;"",ScheduledPayment,"")</f>
        <v>608.02237179106271</v>
      </c>
      <c r="F26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6" s="7">
        <f>IF(PaymentSchedule[[#This Row],[PMT NO]]&lt;&gt;"",PaymentSchedule[[#This Row],[TOTAL PAYMENT]]-PaymentSchedule[[#This Row],[INTEREST]],"")</f>
        <v>396.83129518364171</v>
      </c>
      <c r="I266" s="7">
        <f>IF(PaymentSchedule[[#This Row],[PMT NO]]&lt;&gt;"",PaymentSchedule[[#This Row],[BEGINNING BALANCE]]*(InterestRate/PaymentsPerYear),"")</f>
        <v>211.19107660742102</v>
      </c>
      <c r="J266" s="7">
        <f>IF(PaymentSchedule[[#This Row],[PMT NO]]&lt;&gt;"",IF(PaymentSchedule[[#This Row],[SCHEDULED PAYMENT]]+PaymentSchedule[[#This Row],[EXTRA PAYMENT]]&lt;=PaymentSchedule[[#This Row],[BEGINNING BALANCE]],PaymentSchedule[[#This Row],[BEGINNING BALANCE]]-PaymentSchedule[[#This Row],[PRINCIPAL]],0),"")</f>
        <v>55920.789133461971</v>
      </c>
      <c r="K266" s="7">
        <f>IF(PaymentSchedule[[#This Row],[PMT NO]]&lt;&gt;"",SUM(INDEX([INTEREST],1,1):PaymentSchedule[[#This Row],[INTEREST]]),"")</f>
        <v>86102.314965854544</v>
      </c>
    </row>
    <row r="267" spans="2:11">
      <c r="B267" s="4">
        <f>IF(LoanIsGood,IF(ROW()-ROW(PaymentSchedule[[#Headers],[PMT NO]])&gt;ScheduledNumberOfPayments,"",ROW()-ROW(PaymentSchedule[[#Headers],[PMT NO]])),"")</f>
        <v>248</v>
      </c>
      <c r="C267" s="5">
        <f>IF(PaymentSchedule[[#This Row],[PMT NO]]&lt;&gt;"",EOMONTH(LoanStartDate,ROW(PaymentSchedule[[#This Row],[PMT NO]])-ROW(PaymentSchedule[[#Headers],[PMT NO]])-2)+DAY(LoanStartDate),"")</f>
        <v>51592</v>
      </c>
      <c r="D267" s="7">
        <f>IF(PaymentSchedule[[#This Row],[PMT NO]]&lt;&gt;"",IF(ROW()-ROW(PaymentSchedule[[#Headers],[BEGINNING BALANCE]])=1,LoanAmount,INDEX([ENDING BALANCE],ROW()-ROW(PaymentSchedule[[#Headers],[BEGINNING BALANCE]])-1)),"")</f>
        <v>55920.789133461971</v>
      </c>
      <c r="E267" s="7">
        <f>IF(PaymentSchedule[[#This Row],[PMT NO]]&lt;&gt;"",ScheduledPayment,"")</f>
        <v>608.02237179106271</v>
      </c>
      <c r="F26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7" s="7">
        <f>IF(PaymentSchedule[[#This Row],[PMT NO]]&lt;&gt;"",PaymentSchedule[[#This Row],[TOTAL PAYMENT]]-PaymentSchedule[[#This Row],[INTEREST]],"")</f>
        <v>398.31941254058029</v>
      </c>
      <c r="I267" s="7">
        <f>IF(PaymentSchedule[[#This Row],[PMT NO]]&lt;&gt;"",PaymentSchedule[[#This Row],[BEGINNING BALANCE]]*(InterestRate/PaymentsPerYear),"")</f>
        <v>209.70295925048239</v>
      </c>
      <c r="J267" s="7">
        <f>IF(PaymentSchedule[[#This Row],[PMT NO]]&lt;&gt;"",IF(PaymentSchedule[[#This Row],[SCHEDULED PAYMENT]]+PaymentSchedule[[#This Row],[EXTRA PAYMENT]]&lt;=PaymentSchedule[[#This Row],[BEGINNING BALANCE]],PaymentSchedule[[#This Row],[BEGINNING BALANCE]]-PaymentSchedule[[#This Row],[PRINCIPAL]],0),"")</f>
        <v>55522.469720921392</v>
      </c>
      <c r="K267" s="7">
        <f>IF(PaymentSchedule[[#This Row],[PMT NO]]&lt;&gt;"",SUM(INDEX([INTEREST],1,1):PaymentSchedule[[#This Row],[INTEREST]]),"")</f>
        <v>86312.017925105029</v>
      </c>
    </row>
    <row r="268" spans="2:11">
      <c r="B268" s="4">
        <f>IF(LoanIsGood,IF(ROW()-ROW(PaymentSchedule[[#Headers],[PMT NO]])&gt;ScheduledNumberOfPayments,"",ROW()-ROW(PaymentSchedule[[#Headers],[PMT NO]])),"")</f>
        <v>249</v>
      </c>
      <c r="C268" s="5">
        <f>IF(PaymentSchedule[[#This Row],[PMT NO]]&lt;&gt;"",EOMONTH(LoanStartDate,ROW(PaymentSchedule[[#This Row],[PMT NO]])-ROW(PaymentSchedule[[#Headers],[PMT NO]])-2)+DAY(LoanStartDate),"")</f>
        <v>51622</v>
      </c>
      <c r="D268" s="7">
        <f>IF(PaymentSchedule[[#This Row],[PMT NO]]&lt;&gt;"",IF(ROW()-ROW(PaymentSchedule[[#Headers],[BEGINNING BALANCE]])=1,LoanAmount,INDEX([ENDING BALANCE],ROW()-ROW(PaymentSchedule[[#Headers],[BEGINNING BALANCE]])-1)),"")</f>
        <v>55522.469720921392</v>
      </c>
      <c r="E268" s="7">
        <f>IF(PaymentSchedule[[#This Row],[PMT NO]]&lt;&gt;"",ScheduledPayment,"")</f>
        <v>608.02237179106271</v>
      </c>
      <c r="F26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8" s="7">
        <f>IF(PaymentSchedule[[#This Row],[PMT NO]]&lt;&gt;"",PaymentSchedule[[#This Row],[TOTAL PAYMENT]]-PaymentSchedule[[#This Row],[INTEREST]],"")</f>
        <v>399.8131103376075</v>
      </c>
      <c r="I268" s="7">
        <f>IF(PaymentSchedule[[#This Row],[PMT NO]]&lt;&gt;"",PaymentSchedule[[#This Row],[BEGINNING BALANCE]]*(InterestRate/PaymentsPerYear),"")</f>
        <v>208.20926145345521</v>
      </c>
      <c r="J268" s="7">
        <f>IF(PaymentSchedule[[#This Row],[PMT NO]]&lt;&gt;"",IF(PaymentSchedule[[#This Row],[SCHEDULED PAYMENT]]+PaymentSchedule[[#This Row],[EXTRA PAYMENT]]&lt;=PaymentSchedule[[#This Row],[BEGINNING BALANCE]],PaymentSchedule[[#This Row],[BEGINNING BALANCE]]-PaymentSchedule[[#This Row],[PRINCIPAL]],0),"")</f>
        <v>55122.656610583785</v>
      </c>
      <c r="K268" s="7">
        <f>IF(PaymentSchedule[[#This Row],[PMT NO]]&lt;&gt;"",SUM(INDEX([INTEREST],1,1):PaymentSchedule[[#This Row],[INTEREST]]),"")</f>
        <v>86520.227186558477</v>
      </c>
    </row>
    <row r="269" spans="2:11">
      <c r="B269" s="4">
        <f>IF(LoanIsGood,IF(ROW()-ROW(PaymentSchedule[[#Headers],[PMT NO]])&gt;ScheduledNumberOfPayments,"",ROW()-ROW(PaymentSchedule[[#Headers],[PMT NO]])),"")</f>
        <v>250</v>
      </c>
      <c r="C269" s="5">
        <f>IF(PaymentSchedule[[#This Row],[PMT NO]]&lt;&gt;"",EOMONTH(LoanStartDate,ROW(PaymentSchedule[[#This Row],[PMT NO]])-ROW(PaymentSchedule[[#Headers],[PMT NO]])-2)+DAY(LoanStartDate),"")</f>
        <v>51653</v>
      </c>
      <c r="D269" s="7">
        <f>IF(PaymentSchedule[[#This Row],[PMT NO]]&lt;&gt;"",IF(ROW()-ROW(PaymentSchedule[[#Headers],[BEGINNING BALANCE]])=1,LoanAmount,INDEX([ENDING BALANCE],ROW()-ROW(PaymentSchedule[[#Headers],[BEGINNING BALANCE]])-1)),"")</f>
        <v>55122.656610583785</v>
      </c>
      <c r="E269" s="7">
        <f>IF(PaymentSchedule[[#This Row],[PMT NO]]&lt;&gt;"",ScheduledPayment,"")</f>
        <v>608.02237179106271</v>
      </c>
      <c r="F26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6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69" s="7">
        <f>IF(PaymentSchedule[[#This Row],[PMT NO]]&lt;&gt;"",PaymentSchedule[[#This Row],[TOTAL PAYMENT]]-PaymentSchedule[[#This Row],[INTEREST]],"")</f>
        <v>401.31240950137351</v>
      </c>
      <c r="I269" s="7">
        <f>IF(PaymentSchedule[[#This Row],[PMT NO]]&lt;&gt;"",PaymentSchedule[[#This Row],[BEGINNING BALANCE]]*(InterestRate/PaymentsPerYear),"")</f>
        <v>206.70996228968917</v>
      </c>
      <c r="J269" s="7">
        <f>IF(PaymentSchedule[[#This Row],[PMT NO]]&lt;&gt;"",IF(PaymentSchedule[[#This Row],[SCHEDULED PAYMENT]]+PaymentSchedule[[#This Row],[EXTRA PAYMENT]]&lt;=PaymentSchedule[[#This Row],[BEGINNING BALANCE]],PaymentSchedule[[#This Row],[BEGINNING BALANCE]]-PaymentSchedule[[#This Row],[PRINCIPAL]],0),"")</f>
        <v>54721.344201082415</v>
      </c>
      <c r="K269" s="7">
        <f>IF(PaymentSchedule[[#This Row],[PMT NO]]&lt;&gt;"",SUM(INDEX([INTEREST],1,1):PaymentSchedule[[#This Row],[INTEREST]]),"")</f>
        <v>86726.93714884817</v>
      </c>
    </row>
    <row r="270" spans="2:11">
      <c r="B270" s="4">
        <f>IF(LoanIsGood,IF(ROW()-ROW(PaymentSchedule[[#Headers],[PMT NO]])&gt;ScheduledNumberOfPayments,"",ROW()-ROW(PaymentSchedule[[#Headers],[PMT NO]])),"")</f>
        <v>251</v>
      </c>
      <c r="C270" s="5">
        <f>IF(PaymentSchedule[[#This Row],[PMT NO]]&lt;&gt;"",EOMONTH(LoanStartDate,ROW(PaymentSchedule[[#This Row],[PMT NO]])-ROW(PaymentSchedule[[#Headers],[PMT NO]])-2)+DAY(LoanStartDate),"")</f>
        <v>51683</v>
      </c>
      <c r="D270" s="7">
        <f>IF(PaymentSchedule[[#This Row],[PMT NO]]&lt;&gt;"",IF(ROW()-ROW(PaymentSchedule[[#Headers],[BEGINNING BALANCE]])=1,LoanAmount,INDEX([ENDING BALANCE],ROW()-ROW(PaymentSchedule[[#Headers],[BEGINNING BALANCE]])-1)),"")</f>
        <v>54721.344201082415</v>
      </c>
      <c r="E270" s="7">
        <f>IF(PaymentSchedule[[#This Row],[PMT NO]]&lt;&gt;"",ScheduledPayment,"")</f>
        <v>608.02237179106271</v>
      </c>
      <c r="F27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0" s="7">
        <f>IF(PaymentSchedule[[#This Row],[PMT NO]]&lt;&gt;"",PaymentSchedule[[#This Row],[TOTAL PAYMENT]]-PaymentSchedule[[#This Row],[INTEREST]],"")</f>
        <v>402.81733103700367</v>
      </c>
      <c r="I270" s="7">
        <f>IF(PaymentSchedule[[#This Row],[PMT NO]]&lt;&gt;"",PaymentSchedule[[#This Row],[BEGINNING BALANCE]]*(InterestRate/PaymentsPerYear),"")</f>
        <v>205.20504075405904</v>
      </c>
      <c r="J270" s="7">
        <f>IF(PaymentSchedule[[#This Row],[PMT NO]]&lt;&gt;"",IF(PaymentSchedule[[#This Row],[SCHEDULED PAYMENT]]+PaymentSchedule[[#This Row],[EXTRA PAYMENT]]&lt;=PaymentSchedule[[#This Row],[BEGINNING BALANCE]],PaymentSchedule[[#This Row],[BEGINNING BALANCE]]-PaymentSchedule[[#This Row],[PRINCIPAL]],0),"")</f>
        <v>54318.526870045411</v>
      </c>
      <c r="K270" s="7">
        <f>IF(PaymentSchedule[[#This Row],[PMT NO]]&lt;&gt;"",SUM(INDEX([INTEREST],1,1):PaymentSchedule[[#This Row],[INTEREST]]),"")</f>
        <v>86932.142189602222</v>
      </c>
    </row>
    <row r="271" spans="2:11">
      <c r="B271" s="4">
        <f>IF(LoanIsGood,IF(ROW()-ROW(PaymentSchedule[[#Headers],[PMT NO]])&gt;ScheduledNumberOfPayments,"",ROW()-ROW(PaymentSchedule[[#Headers],[PMT NO]])),"")</f>
        <v>252</v>
      </c>
      <c r="C271" s="5">
        <f>IF(PaymentSchedule[[#This Row],[PMT NO]]&lt;&gt;"",EOMONTH(LoanStartDate,ROW(PaymentSchedule[[#This Row],[PMT NO]])-ROW(PaymentSchedule[[#Headers],[PMT NO]])-2)+DAY(LoanStartDate),"")</f>
        <v>51714</v>
      </c>
      <c r="D271" s="7">
        <f>IF(PaymentSchedule[[#This Row],[PMT NO]]&lt;&gt;"",IF(ROW()-ROW(PaymentSchedule[[#Headers],[BEGINNING BALANCE]])=1,LoanAmount,INDEX([ENDING BALANCE],ROW()-ROW(PaymentSchedule[[#Headers],[BEGINNING BALANCE]])-1)),"")</f>
        <v>54318.526870045411</v>
      </c>
      <c r="E271" s="7">
        <f>IF(PaymentSchedule[[#This Row],[PMT NO]]&lt;&gt;"",ScheduledPayment,"")</f>
        <v>608.02237179106271</v>
      </c>
      <c r="F27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1" s="7">
        <f>IF(PaymentSchedule[[#This Row],[PMT NO]]&lt;&gt;"",PaymentSchedule[[#This Row],[TOTAL PAYMENT]]-PaymentSchedule[[#This Row],[INTEREST]],"")</f>
        <v>404.32789602839239</v>
      </c>
      <c r="I271" s="7">
        <f>IF(PaymentSchedule[[#This Row],[PMT NO]]&lt;&gt;"",PaymentSchedule[[#This Row],[BEGINNING BALANCE]]*(InterestRate/PaymentsPerYear),"")</f>
        <v>203.69447576267029</v>
      </c>
      <c r="J271" s="7">
        <f>IF(PaymentSchedule[[#This Row],[PMT NO]]&lt;&gt;"",IF(PaymentSchedule[[#This Row],[SCHEDULED PAYMENT]]+PaymentSchedule[[#This Row],[EXTRA PAYMENT]]&lt;=PaymentSchedule[[#This Row],[BEGINNING BALANCE]],PaymentSchedule[[#This Row],[BEGINNING BALANCE]]-PaymentSchedule[[#This Row],[PRINCIPAL]],0),"")</f>
        <v>53914.198974017017</v>
      </c>
      <c r="K271" s="7">
        <f>IF(PaymentSchedule[[#This Row],[PMT NO]]&lt;&gt;"",SUM(INDEX([INTEREST],1,1):PaymentSchedule[[#This Row],[INTEREST]]),"")</f>
        <v>87135.836665364899</v>
      </c>
    </row>
    <row r="272" spans="2:11">
      <c r="B272" s="4">
        <f>IF(LoanIsGood,IF(ROW()-ROW(PaymentSchedule[[#Headers],[PMT NO]])&gt;ScheduledNumberOfPayments,"",ROW()-ROW(PaymentSchedule[[#Headers],[PMT NO]])),"")</f>
        <v>253</v>
      </c>
      <c r="C272" s="5">
        <f>IF(PaymentSchedule[[#This Row],[PMT NO]]&lt;&gt;"",EOMONTH(LoanStartDate,ROW(PaymentSchedule[[#This Row],[PMT NO]])-ROW(PaymentSchedule[[#Headers],[PMT NO]])-2)+DAY(LoanStartDate),"")</f>
        <v>51745</v>
      </c>
      <c r="D272" s="7">
        <f>IF(PaymentSchedule[[#This Row],[PMT NO]]&lt;&gt;"",IF(ROW()-ROW(PaymentSchedule[[#Headers],[BEGINNING BALANCE]])=1,LoanAmount,INDEX([ENDING BALANCE],ROW()-ROW(PaymentSchedule[[#Headers],[BEGINNING BALANCE]])-1)),"")</f>
        <v>53914.198974017017</v>
      </c>
      <c r="E272" s="7">
        <f>IF(PaymentSchedule[[#This Row],[PMT NO]]&lt;&gt;"",ScheduledPayment,"")</f>
        <v>608.02237179106271</v>
      </c>
      <c r="F27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2" s="7">
        <f>IF(PaymentSchedule[[#This Row],[PMT NO]]&lt;&gt;"",PaymentSchedule[[#This Row],[TOTAL PAYMENT]]-PaymentSchedule[[#This Row],[INTEREST]],"")</f>
        <v>405.84412563849889</v>
      </c>
      <c r="I272" s="7">
        <f>IF(PaymentSchedule[[#This Row],[PMT NO]]&lt;&gt;"",PaymentSchedule[[#This Row],[BEGINNING BALANCE]]*(InterestRate/PaymentsPerYear),"")</f>
        <v>202.17824615256382</v>
      </c>
      <c r="J272" s="7">
        <f>IF(PaymentSchedule[[#This Row],[PMT NO]]&lt;&gt;"",IF(PaymentSchedule[[#This Row],[SCHEDULED PAYMENT]]+PaymentSchedule[[#This Row],[EXTRA PAYMENT]]&lt;=PaymentSchedule[[#This Row],[BEGINNING BALANCE]],PaymentSchedule[[#This Row],[BEGINNING BALANCE]]-PaymentSchedule[[#This Row],[PRINCIPAL]],0),"")</f>
        <v>53508.35484837852</v>
      </c>
      <c r="K272" s="7">
        <f>IF(PaymentSchedule[[#This Row],[PMT NO]]&lt;&gt;"",SUM(INDEX([INTEREST],1,1):PaymentSchedule[[#This Row],[INTEREST]]),"")</f>
        <v>87338.014911517457</v>
      </c>
    </row>
    <row r="273" spans="2:11">
      <c r="B273" s="4">
        <f>IF(LoanIsGood,IF(ROW()-ROW(PaymentSchedule[[#Headers],[PMT NO]])&gt;ScheduledNumberOfPayments,"",ROW()-ROW(PaymentSchedule[[#Headers],[PMT NO]])),"")</f>
        <v>254</v>
      </c>
      <c r="C273" s="5">
        <f>IF(PaymentSchedule[[#This Row],[PMT NO]]&lt;&gt;"",EOMONTH(LoanStartDate,ROW(PaymentSchedule[[#This Row],[PMT NO]])-ROW(PaymentSchedule[[#Headers],[PMT NO]])-2)+DAY(LoanStartDate),"")</f>
        <v>51775</v>
      </c>
      <c r="D273" s="7">
        <f>IF(PaymentSchedule[[#This Row],[PMT NO]]&lt;&gt;"",IF(ROW()-ROW(PaymentSchedule[[#Headers],[BEGINNING BALANCE]])=1,LoanAmount,INDEX([ENDING BALANCE],ROW()-ROW(PaymentSchedule[[#Headers],[BEGINNING BALANCE]])-1)),"")</f>
        <v>53508.35484837852</v>
      </c>
      <c r="E273" s="7">
        <f>IF(PaymentSchedule[[#This Row],[PMT NO]]&lt;&gt;"",ScheduledPayment,"")</f>
        <v>608.02237179106271</v>
      </c>
      <c r="F27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3" s="7">
        <f>IF(PaymentSchedule[[#This Row],[PMT NO]]&lt;&gt;"",PaymentSchedule[[#This Row],[TOTAL PAYMENT]]-PaymentSchedule[[#This Row],[INTEREST]],"")</f>
        <v>407.36604110964328</v>
      </c>
      <c r="I273" s="7">
        <f>IF(PaymentSchedule[[#This Row],[PMT NO]]&lt;&gt;"",PaymentSchedule[[#This Row],[BEGINNING BALANCE]]*(InterestRate/PaymentsPerYear),"")</f>
        <v>200.65633068141943</v>
      </c>
      <c r="J273" s="7">
        <f>IF(PaymentSchedule[[#This Row],[PMT NO]]&lt;&gt;"",IF(PaymentSchedule[[#This Row],[SCHEDULED PAYMENT]]+PaymentSchedule[[#This Row],[EXTRA PAYMENT]]&lt;=PaymentSchedule[[#This Row],[BEGINNING BALANCE]],PaymentSchedule[[#This Row],[BEGINNING BALANCE]]-PaymentSchedule[[#This Row],[PRINCIPAL]],0),"")</f>
        <v>53100.988807268877</v>
      </c>
      <c r="K273" s="7">
        <f>IF(PaymentSchedule[[#This Row],[PMT NO]]&lt;&gt;"",SUM(INDEX([INTEREST],1,1):PaymentSchedule[[#This Row],[INTEREST]]),"")</f>
        <v>87538.671242198878</v>
      </c>
    </row>
    <row r="274" spans="2:11">
      <c r="B274" s="4">
        <f>IF(LoanIsGood,IF(ROW()-ROW(PaymentSchedule[[#Headers],[PMT NO]])&gt;ScheduledNumberOfPayments,"",ROW()-ROW(PaymentSchedule[[#Headers],[PMT NO]])),"")</f>
        <v>255</v>
      </c>
      <c r="C274" s="5">
        <f>IF(PaymentSchedule[[#This Row],[PMT NO]]&lt;&gt;"",EOMONTH(LoanStartDate,ROW(PaymentSchedule[[#This Row],[PMT NO]])-ROW(PaymentSchedule[[#Headers],[PMT NO]])-2)+DAY(LoanStartDate),"")</f>
        <v>51806</v>
      </c>
      <c r="D274" s="7">
        <f>IF(PaymentSchedule[[#This Row],[PMT NO]]&lt;&gt;"",IF(ROW()-ROW(PaymentSchedule[[#Headers],[BEGINNING BALANCE]])=1,LoanAmount,INDEX([ENDING BALANCE],ROW()-ROW(PaymentSchedule[[#Headers],[BEGINNING BALANCE]])-1)),"")</f>
        <v>53100.988807268877</v>
      </c>
      <c r="E274" s="7">
        <f>IF(PaymentSchedule[[#This Row],[PMT NO]]&lt;&gt;"",ScheduledPayment,"")</f>
        <v>608.02237179106271</v>
      </c>
      <c r="F27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4" s="7">
        <f>IF(PaymentSchedule[[#This Row],[PMT NO]]&lt;&gt;"",PaymentSchedule[[#This Row],[TOTAL PAYMENT]]-PaymentSchedule[[#This Row],[INTEREST]],"")</f>
        <v>408.8936637638044</v>
      </c>
      <c r="I274" s="7">
        <f>IF(PaymentSchedule[[#This Row],[PMT NO]]&lt;&gt;"",PaymentSchedule[[#This Row],[BEGINNING BALANCE]]*(InterestRate/PaymentsPerYear),"")</f>
        <v>199.12870802725828</v>
      </c>
      <c r="J274" s="7">
        <f>IF(PaymentSchedule[[#This Row],[PMT NO]]&lt;&gt;"",IF(PaymentSchedule[[#This Row],[SCHEDULED PAYMENT]]+PaymentSchedule[[#This Row],[EXTRA PAYMENT]]&lt;=PaymentSchedule[[#This Row],[BEGINNING BALANCE]],PaymentSchedule[[#This Row],[BEGINNING BALANCE]]-PaymentSchedule[[#This Row],[PRINCIPAL]],0),"")</f>
        <v>52692.095143505074</v>
      </c>
      <c r="K274" s="7">
        <f>IF(PaymentSchedule[[#This Row],[PMT NO]]&lt;&gt;"",SUM(INDEX([INTEREST],1,1):PaymentSchedule[[#This Row],[INTEREST]]),"")</f>
        <v>87737.799950226137</v>
      </c>
    </row>
    <row r="275" spans="2:11">
      <c r="B275" s="4">
        <f>IF(LoanIsGood,IF(ROW()-ROW(PaymentSchedule[[#Headers],[PMT NO]])&gt;ScheduledNumberOfPayments,"",ROW()-ROW(PaymentSchedule[[#Headers],[PMT NO]])),"")</f>
        <v>256</v>
      </c>
      <c r="C275" s="5">
        <f>IF(PaymentSchedule[[#This Row],[PMT NO]]&lt;&gt;"",EOMONTH(LoanStartDate,ROW(PaymentSchedule[[#This Row],[PMT NO]])-ROW(PaymentSchedule[[#Headers],[PMT NO]])-2)+DAY(LoanStartDate),"")</f>
        <v>51836</v>
      </c>
      <c r="D275" s="7">
        <f>IF(PaymentSchedule[[#This Row],[PMT NO]]&lt;&gt;"",IF(ROW()-ROW(PaymentSchedule[[#Headers],[BEGINNING BALANCE]])=1,LoanAmount,INDEX([ENDING BALANCE],ROW()-ROW(PaymentSchedule[[#Headers],[BEGINNING BALANCE]])-1)),"")</f>
        <v>52692.095143505074</v>
      </c>
      <c r="E275" s="7">
        <f>IF(PaymentSchedule[[#This Row],[PMT NO]]&lt;&gt;"",ScheduledPayment,"")</f>
        <v>608.02237179106271</v>
      </c>
      <c r="F27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5" s="7">
        <f>IF(PaymentSchedule[[#This Row],[PMT NO]]&lt;&gt;"",PaymentSchedule[[#This Row],[TOTAL PAYMENT]]-PaymentSchedule[[#This Row],[INTEREST]],"")</f>
        <v>410.42701500291867</v>
      </c>
      <c r="I275" s="7">
        <f>IF(PaymentSchedule[[#This Row],[PMT NO]]&lt;&gt;"",PaymentSchedule[[#This Row],[BEGINNING BALANCE]]*(InterestRate/PaymentsPerYear),"")</f>
        <v>197.59535678814402</v>
      </c>
      <c r="J275" s="7">
        <f>IF(PaymentSchedule[[#This Row],[PMT NO]]&lt;&gt;"",IF(PaymentSchedule[[#This Row],[SCHEDULED PAYMENT]]+PaymentSchedule[[#This Row],[EXTRA PAYMENT]]&lt;=PaymentSchedule[[#This Row],[BEGINNING BALANCE]],PaymentSchedule[[#This Row],[BEGINNING BALANCE]]-PaymentSchedule[[#This Row],[PRINCIPAL]],0),"")</f>
        <v>52281.668128502155</v>
      </c>
      <c r="K275" s="7">
        <f>IF(PaymentSchedule[[#This Row],[PMT NO]]&lt;&gt;"",SUM(INDEX([INTEREST],1,1):PaymentSchedule[[#This Row],[INTEREST]]),"")</f>
        <v>87935.395307014274</v>
      </c>
    </row>
    <row r="276" spans="2:11">
      <c r="B276" s="4">
        <f>IF(LoanIsGood,IF(ROW()-ROW(PaymentSchedule[[#Headers],[PMT NO]])&gt;ScheduledNumberOfPayments,"",ROW()-ROW(PaymentSchedule[[#Headers],[PMT NO]])),"")</f>
        <v>257</v>
      </c>
      <c r="C276" s="5">
        <f>IF(PaymentSchedule[[#This Row],[PMT NO]]&lt;&gt;"",EOMONTH(LoanStartDate,ROW(PaymentSchedule[[#This Row],[PMT NO]])-ROW(PaymentSchedule[[#Headers],[PMT NO]])-2)+DAY(LoanStartDate),"")</f>
        <v>51867</v>
      </c>
      <c r="D276" s="7">
        <f>IF(PaymentSchedule[[#This Row],[PMT NO]]&lt;&gt;"",IF(ROW()-ROW(PaymentSchedule[[#Headers],[BEGINNING BALANCE]])=1,LoanAmount,INDEX([ENDING BALANCE],ROW()-ROW(PaymentSchedule[[#Headers],[BEGINNING BALANCE]])-1)),"")</f>
        <v>52281.668128502155</v>
      </c>
      <c r="E276" s="7">
        <f>IF(PaymentSchedule[[#This Row],[PMT NO]]&lt;&gt;"",ScheduledPayment,"")</f>
        <v>608.02237179106271</v>
      </c>
      <c r="F27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6" s="7">
        <f>IF(PaymentSchedule[[#This Row],[PMT NO]]&lt;&gt;"",PaymentSchedule[[#This Row],[TOTAL PAYMENT]]-PaymentSchedule[[#This Row],[INTEREST]],"")</f>
        <v>411.9661163091796</v>
      </c>
      <c r="I276" s="7">
        <f>IF(PaymentSchedule[[#This Row],[PMT NO]]&lt;&gt;"",PaymentSchedule[[#This Row],[BEGINNING BALANCE]]*(InterestRate/PaymentsPerYear),"")</f>
        <v>196.05625548188308</v>
      </c>
      <c r="J276" s="7">
        <f>IF(PaymentSchedule[[#This Row],[PMT NO]]&lt;&gt;"",IF(PaymentSchedule[[#This Row],[SCHEDULED PAYMENT]]+PaymentSchedule[[#This Row],[EXTRA PAYMENT]]&lt;=PaymentSchedule[[#This Row],[BEGINNING BALANCE]],PaymentSchedule[[#This Row],[BEGINNING BALANCE]]-PaymentSchedule[[#This Row],[PRINCIPAL]],0),"")</f>
        <v>51869.702012192975</v>
      </c>
      <c r="K276" s="7">
        <f>IF(PaymentSchedule[[#This Row],[PMT NO]]&lt;&gt;"",SUM(INDEX([INTEREST],1,1):PaymentSchedule[[#This Row],[INTEREST]]),"")</f>
        <v>88131.451562496164</v>
      </c>
    </row>
    <row r="277" spans="2:11">
      <c r="B277" s="4">
        <f>IF(LoanIsGood,IF(ROW()-ROW(PaymentSchedule[[#Headers],[PMT NO]])&gt;ScheduledNumberOfPayments,"",ROW()-ROW(PaymentSchedule[[#Headers],[PMT NO]])),"")</f>
        <v>258</v>
      </c>
      <c r="C277" s="5">
        <f>IF(PaymentSchedule[[#This Row],[PMT NO]]&lt;&gt;"",EOMONTH(LoanStartDate,ROW(PaymentSchedule[[#This Row],[PMT NO]])-ROW(PaymentSchedule[[#Headers],[PMT NO]])-2)+DAY(LoanStartDate),"")</f>
        <v>51898</v>
      </c>
      <c r="D277" s="7">
        <f>IF(PaymentSchedule[[#This Row],[PMT NO]]&lt;&gt;"",IF(ROW()-ROW(PaymentSchedule[[#Headers],[BEGINNING BALANCE]])=1,LoanAmount,INDEX([ENDING BALANCE],ROW()-ROW(PaymentSchedule[[#Headers],[BEGINNING BALANCE]])-1)),"")</f>
        <v>51869.702012192975</v>
      </c>
      <c r="E277" s="7">
        <f>IF(PaymentSchedule[[#This Row],[PMT NO]]&lt;&gt;"",ScheduledPayment,"")</f>
        <v>608.02237179106271</v>
      </c>
      <c r="F27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7" s="7">
        <f>IF(PaymentSchedule[[#This Row],[PMT NO]]&lt;&gt;"",PaymentSchedule[[#This Row],[TOTAL PAYMENT]]-PaymentSchedule[[#This Row],[INTEREST]],"")</f>
        <v>413.51098924533903</v>
      </c>
      <c r="I277" s="7">
        <f>IF(PaymentSchedule[[#This Row],[PMT NO]]&lt;&gt;"",PaymentSchedule[[#This Row],[BEGINNING BALANCE]]*(InterestRate/PaymentsPerYear),"")</f>
        <v>194.51138254572365</v>
      </c>
      <c r="J277" s="7">
        <f>IF(PaymentSchedule[[#This Row],[PMT NO]]&lt;&gt;"",IF(PaymentSchedule[[#This Row],[SCHEDULED PAYMENT]]+PaymentSchedule[[#This Row],[EXTRA PAYMENT]]&lt;=PaymentSchedule[[#This Row],[BEGINNING BALANCE]],PaymentSchedule[[#This Row],[BEGINNING BALANCE]]-PaymentSchedule[[#This Row],[PRINCIPAL]],0),"")</f>
        <v>51456.191022947634</v>
      </c>
      <c r="K277" s="7">
        <f>IF(PaymentSchedule[[#This Row],[PMT NO]]&lt;&gt;"",SUM(INDEX([INTEREST],1,1):PaymentSchedule[[#This Row],[INTEREST]]),"")</f>
        <v>88325.962945041887</v>
      </c>
    </row>
    <row r="278" spans="2:11">
      <c r="B278" s="4">
        <f>IF(LoanIsGood,IF(ROW()-ROW(PaymentSchedule[[#Headers],[PMT NO]])&gt;ScheduledNumberOfPayments,"",ROW()-ROW(PaymentSchedule[[#Headers],[PMT NO]])),"")</f>
        <v>259</v>
      </c>
      <c r="C278" s="5">
        <f>IF(PaymentSchedule[[#This Row],[PMT NO]]&lt;&gt;"",EOMONTH(LoanStartDate,ROW(PaymentSchedule[[#This Row],[PMT NO]])-ROW(PaymentSchedule[[#Headers],[PMT NO]])-2)+DAY(LoanStartDate),"")</f>
        <v>51926</v>
      </c>
      <c r="D278" s="7">
        <f>IF(PaymentSchedule[[#This Row],[PMT NO]]&lt;&gt;"",IF(ROW()-ROW(PaymentSchedule[[#Headers],[BEGINNING BALANCE]])=1,LoanAmount,INDEX([ENDING BALANCE],ROW()-ROW(PaymentSchedule[[#Headers],[BEGINNING BALANCE]])-1)),"")</f>
        <v>51456.191022947634</v>
      </c>
      <c r="E278" s="7">
        <f>IF(PaymentSchedule[[#This Row],[PMT NO]]&lt;&gt;"",ScheduledPayment,"")</f>
        <v>608.02237179106271</v>
      </c>
      <c r="F27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8" s="7">
        <f>IF(PaymentSchedule[[#This Row],[PMT NO]]&lt;&gt;"",PaymentSchedule[[#This Row],[TOTAL PAYMENT]]-PaymentSchedule[[#This Row],[INTEREST]],"")</f>
        <v>415.06165545500909</v>
      </c>
      <c r="I278" s="7">
        <f>IF(PaymentSchedule[[#This Row],[PMT NO]]&lt;&gt;"",PaymentSchedule[[#This Row],[BEGINNING BALANCE]]*(InterestRate/PaymentsPerYear),"")</f>
        <v>192.96071633605362</v>
      </c>
      <c r="J278" s="7">
        <f>IF(PaymentSchedule[[#This Row],[PMT NO]]&lt;&gt;"",IF(PaymentSchedule[[#This Row],[SCHEDULED PAYMENT]]+PaymentSchedule[[#This Row],[EXTRA PAYMENT]]&lt;=PaymentSchedule[[#This Row],[BEGINNING BALANCE]],PaymentSchedule[[#This Row],[BEGINNING BALANCE]]-PaymentSchedule[[#This Row],[PRINCIPAL]],0),"")</f>
        <v>51041.129367492627</v>
      </c>
      <c r="K278" s="7">
        <f>IF(PaymentSchedule[[#This Row],[PMT NO]]&lt;&gt;"",SUM(INDEX([INTEREST],1,1):PaymentSchedule[[#This Row],[INTEREST]]),"")</f>
        <v>88518.923661377936</v>
      </c>
    </row>
    <row r="279" spans="2:11">
      <c r="B279" s="4">
        <f>IF(LoanIsGood,IF(ROW()-ROW(PaymentSchedule[[#Headers],[PMT NO]])&gt;ScheduledNumberOfPayments,"",ROW()-ROW(PaymentSchedule[[#Headers],[PMT NO]])),"")</f>
        <v>260</v>
      </c>
      <c r="C279" s="5">
        <f>IF(PaymentSchedule[[#This Row],[PMT NO]]&lt;&gt;"",EOMONTH(LoanStartDate,ROW(PaymentSchedule[[#This Row],[PMT NO]])-ROW(PaymentSchedule[[#Headers],[PMT NO]])-2)+DAY(LoanStartDate),"")</f>
        <v>51957</v>
      </c>
      <c r="D279" s="7">
        <f>IF(PaymentSchedule[[#This Row],[PMT NO]]&lt;&gt;"",IF(ROW()-ROW(PaymentSchedule[[#Headers],[BEGINNING BALANCE]])=1,LoanAmount,INDEX([ENDING BALANCE],ROW()-ROW(PaymentSchedule[[#Headers],[BEGINNING BALANCE]])-1)),"")</f>
        <v>51041.129367492627</v>
      </c>
      <c r="E279" s="7">
        <f>IF(PaymentSchedule[[#This Row],[PMT NO]]&lt;&gt;"",ScheduledPayment,"")</f>
        <v>608.02237179106271</v>
      </c>
      <c r="F27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7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79" s="7">
        <f>IF(PaymentSchedule[[#This Row],[PMT NO]]&lt;&gt;"",PaymentSchedule[[#This Row],[TOTAL PAYMENT]]-PaymentSchedule[[#This Row],[INTEREST]],"")</f>
        <v>416.61813666296536</v>
      </c>
      <c r="I279" s="7">
        <f>IF(PaymentSchedule[[#This Row],[PMT NO]]&lt;&gt;"",PaymentSchedule[[#This Row],[BEGINNING BALANCE]]*(InterestRate/PaymentsPerYear),"")</f>
        <v>191.40423512809735</v>
      </c>
      <c r="J279" s="7">
        <f>IF(PaymentSchedule[[#This Row],[PMT NO]]&lt;&gt;"",IF(PaymentSchedule[[#This Row],[SCHEDULED PAYMENT]]+PaymentSchedule[[#This Row],[EXTRA PAYMENT]]&lt;=PaymentSchedule[[#This Row],[BEGINNING BALANCE]],PaymentSchedule[[#This Row],[BEGINNING BALANCE]]-PaymentSchedule[[#This Row],[PRINCIPAL]],0),"")</f>
        <v>50624.511230829659</v>
      </c>
      <c r="K279" s="7">
        <f>IF(PaymentSchedule[[#This Row],[PMT NO]]&lt;&gt;"",SUM(INDEX([INTEREST],1,1):PaymentSchedule[[#This Row],[INTEREST]]),"")</f>
        <v>88710.327896506031</v>
      </c>
    </row>
    <row r="280" spans="2:11">
      <c r="B280" s="4">
        <f>IF(LoanIsGood,IF(ROW()-ROW(PaymentSchedule[[#Headers],[PMT NO]])&gt;ScheduledNumberOfPayments,"",ROW()-ROW(PaymentSchedule[[#Headers],[PMT NO]])),"")</f>
        <v>261</v>
      </c>
      <c r="C280" s="5">
        <f>IF(PaymentSchedule[[#This Row],[PMT NO]]&lt;&gt;"",EOMONTH(LoanStartDate,ROW(PaymentSchedule[[#This Row],[PMT NO]])-ROW(PaymentSchedule[[#Headers],[PMT NO]])-2)+DAY(LoanStartDate),"")</f>
        <v>51987</v>
      </c>
      <c r="D280" s="7">
        <f>IF(PaymentSchedule[[#This Row],[PMT NO]]&lt;&gt;"",IF(ROW()-ROW(PaymentSchedule[[#Headers],[BEGINNING BALANCE]])=1,LoanAmount,INDEX([ENDING BALANCE],ROW()-ROW(PaymentSchedule[[#Headers],[BEGINNING BALANCE]])-1)),"")</f>
        <v>50624.511230829659</v>
      </c>
      <c r="E280" s="7">
        <f>IF(PaymentSchedule[[#This Row],[PMT NO]]&lt;&gt;"",ScheduledPayment,"")</f>
        <v>608.02237179106271</v>
      </c>
      <c r="F28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0" s="7">
        <f>IF(PaymentSchedule[[#This Row],[PMT NO]]&lt;&gt;"",PaymentSchedule[[#This Row],[TOTAL PAYMENT]]-PaymentSchedule[[#This Row],[INTEREST]],"")</f>
        <v>418.18045467545153</v>
      </c>
      <c r="I280" s="7">
        <f>IF(PaymentSchedule[[#This Row],[PMT NO]]&lt;&gt;"",PaymentSchedule[[#This Row],[BEGINNING BALANCE]]*(InterestRate/PaymentsPerYear),"")</f>
        <v>189.84191711561121</v>
      </c>
      <c r="J280" s="7">
        <f>IF(PaymentSchedule[[#This Row],[PMT NO]]&lt;&gt;"",IF(PaymentSchedule[[#This Row],[SCHEDULED PAYMENT]]+PaymentSchedule[[#This Row],[EXTRA PAYMENT]]&lt;=PaymentSchedule[[#This Row],[BEGINNING BALANCE]],PaymentSchedule[[#This Row],[BEGINNING BALANCE]]-PaymentSchedule[[#This Row],[PRINCIPAL]],0),"")</f>
        <v>50206.330776154209</v>
      </c>
      <c r="K280" s="7">
        <f>IF(PaymentSchedule[[#This Row],[PMT NO]]&lt;&gt;"",SUM(INDEX([INTEREST],1,1):PaymentSchedule[[#This Row],[INTEREST]]),"")</f>
        <v>88900.169813621644</v>
      </c>
    </row>
    <row r="281" spans="2:11">
      <c r="B281" s="4">
        <f>IF(LoanIsGood,IF(ROW()-ROW(PaymentSchedule[[#Headers],[PMT NO]])&gt;ScheduledNumberOfPayments,"",ROW()-ROW(PaymentSchedule[[#Headers],[PMT NO]])),"")</f>
        <v>262</v>
      </c>
      <c r="C281" s="5">
        <f>IF(PaymentSchedule[[#This Row],[PMT NO]]&lt;&gt;"",EOMONTH(LoanStartDate,ROW(PaymentSchedule[[#This Row],[PMT NO]])-ROW(PaymentSchedule[[#Headers],[PMT NO]])-2)+DAY(LoanStartDate),"")</f>
        <v>52018</v>
      </c>
      <c r="D281" s="7">
        <f>IF(PaymentSchedule[[#This Row],[PMT NO]]&lt;&gt;"",IF(ROW()-ROW(PaymentSchedule[[#Headers],[BEGINNING BALANCE]])=1,LoanAmount,INDEX([ENDING BALANCE],ROW()-ROW(PaymentSchedule[[#Headers],[BEGINNING BALANCE]])-1)),"")</f>
        <v>50206.330776154209</v>
      </c>
      <c r="E281" s="7">
        <f>IF(PaymentSchedule[[#This Row],[PMT NO]]&lt;&gt;"",ScheduledPayment,"")</f>
        <v>608.02237179106271</v>
      </c>
      <c r="F28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1" s="7">
        <f>IF(PaymentSchedule[[#This Row],[PMT NO]]&lt;&gt;"",PaymentSchedule[[#This Row],[TOTAL PAYMENT]]-PaymentSchedule[[#This Row],[INTEREST]],"")</f>
        <v>419.74863138048443</v>
      </c>
      <c r="I281" s="7">
        <f>IF(PaymentSchedule[[#This Row],[PMT NO]]&lt;&gt;"",PaymentSchedule[[#This Row],[BEGINNING BALANCE]]*(InterestRate/PaymentsPerYear),"")</f>
        <v>188.27374041057828</v>
      </c>
      <c r="J281" s="7">
        <f>IF(PaymentSchedule[[#This Row],[PMT NO]]&lt;&gt;"",IF(PaymentSchedule[[#This Row],[SCHEDULED PAYMENT]]+PaymentSchedule[[#This Row],[EXTRA PAYMENT]]&lt;=PaymentSchedule[[#This Row],[BEGINNING BALANCE]],PaymentSchedule[[#This Row],[BEGINNING BALANCE]]-PaymentSchedule[[#This Row],[PRINCIPAL]],0),"")</f>
        <v>49786.582144773725</v>
      </c>
      <c r="K281" s="7">
        <f>IF(PaymentSchedule[[#This Row],[PMT NO]]&lt;&gt;"",SUM(INDEX([INTEREST],1,1):PaymentSchedule[[#This Row],[INTEREST]]),"")</f>
        <v>89088.443554032216</v>
      </c>
    </row>
    <row r="282" spans="2:11">
      <c r="B282" s="4">
        <f>IF(LoanIsGood,IF(ROW()-ROW(PaymentSchedule[[#Headers],[PMT NO]])&gt;ScheduledNumberOfPayments,"",ROW()-ROW(PaymentSchedule[[#Headers],[PMT NO]])),"")</f>
        <v>263</v>
      </c>
      <c r="C282" s="5">
        <f>IF(PaymentSchedule[[#This Row],[PMT NO]]&lt;&gt;"",EOMONTH(LoanStartDate,ROW(PaymentSchedule[[#This Row],[PMT NO]])-ROW(PaymentSchedule[[#Headers],[PMT NO]])-2)+DAY(LoanStartDate),"")</f>
        <v>52048</v>
      </c>
      <c r="D282" s="7">
        <f>IF(PaymentSchedule[[#This Row],[PMT NO]]&lt;&gt;"",IF(ROW()-ROW(PaymentSchedule[[#Headers],[BEGINNING BALANCE]])=1,LoanAmount,INDEX([ENDING BALANCE],ROW()-ROW(PaymentSchedule[[#Headers],[BEGINNING BALANCE]])-1)),"")</f>
        <v>49786.582144773725</v>
      </c>
      <c r="E282" s="7">
        <f>IF(PaymentSchedule[[#This Row],[PMT NO]]&lt;&gt;"",ScheduledPayment,"")</f>
        <v>608.02237179106271</v>
      </c>
      <c r="F28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2" s="7">
        <f>IF(PaymentSchedule[[#This Row],[PMT NO]]&lt;&gt;"",PaymentSchedule[[#This Row],[TOTAL PAYMENT]]-PaymentSchedule[[#This Row],[INTEREST]],"")</f>
        <v>421.32268874816123</v>
      </c>
      <c r="I282" s="7">
        <f>IF(PaymentSchedule[[#This Row],[PMT NO]]&lt;&gt;"",PaymentSchedule[[#This Row],[BEGINNING BALANCE]]*(InterestRate/PaymentsPerYear),"")</f>
        <v>186.69968304290146</v>
      </c>
      <c r="J282" s="7">
        <f>IF(PaymentSchedule[[#This Row],[PMT NO]]&lt;&gt;"",IF(PaymentSchedule[[#This Row],[SCHEDULED PAYMENT]]+PaymentSchedule[[#This Row],[EXTRA PAYMENT]]&lt;=PaymentSchedule[[#This Row],[BEGINNING BALANCE]],PaymentSchedule[[#This Row],[BEGINNING BALANCE]]-PaymentSchedule[[#This Row],[PRINCIPAL]],0),"")</f>
        <v>49365.259456025567</v>
      </c>
      <c r="K282" s="7">
        <f>IF(PaymentSchedule[[#This Row],[PMT NO]]&lt;&gt;"",SUM(INDEX([INTEREST],1,1):PaymentSchedule[[#This Row],[INTEREST]]),"")</f>
        <v>89275.143237075114</v>
      </c>
    </row>
    <row r="283" spans="2:11">
      <c r="B283" s="4">
        <f>IF(LoanIsGood,IF(ROW()-ROW(PaymentSchedule[[#Headers],[PMT NO]])&gt;ScheduledNumberOfPayments,"",ROW()-ROW(PaymentSchedule[[#Headers],[PMT NO]])),"")</f>
        <v>264</v>
      </c>
      <c r="C283" s="5">
        <f>IF(PaymentSchedule[[#This Row],[PMT NO]]&lt;&gt;"",EOMONTH(LoanStartDate,ROW(PaymentSchedule[[#This Row],[PMT NO]])-ROW(PaymentSchedule[[#Headers],[PMT NO]])-2)+DAY(LoanStartDate),"")</f>
        <v>52079</v>
      </c>
      <c r="D283" s="7">
        <f>IF(PaymentSchedule[[#This Row],[PMT NO]]&lt;&gt;"",IF(ROW()-ROW(PaymentSchedule[[#Headers],[BEGINNING BALANCE]])=1,LoanAmount,INDEX([ENDING BALANCE],ROW()-ROW(PaymentSchedule[[#Headers],[BEGINNING BALANCE]])-1)),"")</f>
        <v>49365.259456025567</v>
      </c>
      <c r="E283" s="7">
        <f>IF(PaymentSchedule[[#This Row],[PMT NO]]&lt;&gt;"",ScheduledPayment,"")</f>
        <v>608.02237179106271</v>
      </c>
      <c r="F28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3" s="7">
        <f>IF(PaymentSchedule[[#This Row],[PMT NO]]&lt;&gt;"",PaymentSchedule[[#This Row],[TOTAL PAYMENT]]-PaymentSchedule[[#This Row],[INTEREST]],"")</f>
        <v>422.90264883096683</v>
      </c>
      <c r="I283" s="7">
        <f>IF(PaymentSchedule[[#This Row],[PMT NO]]&lt;&gt;"",PaymentSchedule[[#This Row],[BEGINNING BALANCE]]*(InterestRate/PaymentsPerYear),"")</f>
        <v>185.11972296009588</v>
      </c>
      <c r="J283" s="7">
        <f>IF(PaymentSchedule[[#This Row],[PMT NO]]&lt;&gt;"",IF(PaymentSchedule[[#This Row],[SCHEDULED PAYMENT]]+PaymentSchedule[[#This Row],[EXTRA PAYMENT]]&lt;=PaymentSchedule[[#This Row],[BEGINNING BALANCE]],PaymentSchedule[[#This Row],[BEGINNING BALANCE]]-PaymentSchedule[[#This Row],[PRINCIPAL]],0),"")</f>
        <v>48942.356807194599</v>
      </c>
      <c r="K283" s="7">
        <f>IF(PaymentSchedule[[#This Row],[PMT NO]]&lt;&gt;"",SUM(INDEX([INTEREST],1,1):PaymentSchedule[[#This Row],[INTEREST]]),"")</f>
        <v>89460.262960035208</v>
      </c>
    </row>
    <row r="284" spans="2:11">
      <c r="B284" s="4">
        <f>IF(LoanIsGood,IF(ROW()-ROW(PaymentSchedule[[#Headers],[PMT NO]])&gt;ScheduledNumberOfPayments,"",ROW()-ROW(PaymentSchedule[[#Headers],[PMT NO]])),"")</f>
        <v>265</v>
      </c>
      <c r="C284" s="5">
        <f>IF(PaymentSchedule[[#This Row],[PMT NO]]&lt;&gt;"",EOMONTH(LoanStartDate,ROW(PaymentSchedule[[#This Row],[PMT NO]])-ROW(PaymentSchedule[[#Headers],[PMT NO]])-2)+DAY(LoanStartDate),"")</f>
        <v>52110</v>
      </c>
      <c r="D284" s="7">
        <f>IF(PaymentSchedule[[#This Row],[PMT NO]]&lt;&gt;"",IF(ROW()-ROW(PaymentSchedule[[#Headers],[BEGINNING BALANCE]])=1,LoanAmount,INDEX([ENDING BALANCE],ROW()-ROW(PaymentSchedule[[#Headers],[BEGINNING BALANCE]])-1)),"")</f>
        <v>48942.356807194599</v>
      </c>
      <c r="E284" s="7">
        <f>IF(PaymentSchedule[[#This Row],[PMT NO]]&lt;&gt;"",ScheduledPayment,"")</f>
        <v>608.02237179106271</v>
      </c>
      <c r="F28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4" s="7">
        <f>IF(PaymentSchedule[[#This Row],[PMT NO]]&lt;&gt;"",PaymentSchedule[[#This Row],[TOTAL PAYMENT]]-PaymentSchedule[[#This Row],[INTEREST]],"")</f>
        <v>424.48853376408294</v>
      </c>
      <c r="I284" s="7">
        <f>IF(PaymentSchedule[[#This Row],[PMT NO]]&lt;&gt;"",PaymentSchedule[[#This Row],[BEGINNING BALANCE]]*(InterestRate/PaymentsPerYear),"")</f>
        <v>183.53383802697974</v>
      </c>
      <c r="J284" s="7">
        <f>IF(PaymentSchedule[[#This Row],[PMT NO]]&lt;&gt;"",IF(PaymentSchedule[[#This Row],[SCHEDULED PAYMENT]]+PaymentSchedule[[#This Row],[EXTRA PAYMENT]]&lt;=PaymentSchedule[[#This Row],[BEGINNING BALANCE]],PaymentSchedule[[#This Row],[BEGINNING BALANCE]]-PaymentSchedule[[#This Row],[PRINCIPAL]],0),"")</f>
        <v>48517.868273430518</v>
      </c>
      <c r="K284" s="7">
        <f>IF(PaymentSchedule[[#This Row],[PMT NO]]&lt;&gt;"",SUM(INDEX([INTEREST],1,1):PaymentSchedule[[#This Row],[INTEREST]]),"")</f>
        <v>89643.796798062191</v>
      </c>
    </row>
    <row r="285" spans="2:11">
      <c r="B285" s="4">
        <f>IF(LoanIsGood,IF(ROW()-ROW(PaymentSchedule[[#Headers],[PMT NO]])&gt;ScheduledNumberOfPayments,"",ROW()-ROW(PaymentSchedule[[#Headers],[PMT NO]])),"")</f>
        <v>266</v>
      </c>
      <c r="C285" s="5">
        <f>IF(PaymentSchedule[[#This Row],[PMT NO]]&lt;&gt;"",EOMONTH(LoanStartDate,ROW(PaymentSchedule[[#This Row],[PMT NO]])-ROW(PaymentSchedule[[#Headers],[PMT NO]])-2)+DAY(LoanStartDate),"")</f>
        <v>52140</v>
      </c>
      <c r="D285" s="7">
        <f>IF(PaymentSchedule[[#This Row],[PMT NO]]&lt;&gt;"",IF(ROW()-ROW(PaymentSchedule[[#Headers],[BEGINNING BALANCE]])=1,LoanAmount,INDEX([ENDING BALANCE],ROW()-ROW(PaymentSchedule[[#Headers],[BEGINNING BALANCE]])-1)),"")</f>
        <v>48517.868273430518</v>
      </c>
      <c r="E285" s="7">
        <f>IF(PaymentSchedule[[#This Row],[PMT NO]]&lt;&gt;"",ScheduledPayment,"")</f>
        <v>608.02237179106271</v>
      </c>
      <c r="F28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5" s="7">
        <f>IF(PaymentSchedule[[#This Row],[PMT NO]]&lt;&gt;"",PaymentSchedule[[#This Row],[TOTAL PAYMENT]]-PaymentSchedule[[#This Row],[INTEREST]],"")</f>
        <v>426.08036576569828</v>
      </c>
      <c r="I285" s="7">
        <f>IF(PaymentSchedule[[#This Row],[PMT NO]]&lt;&gt;"",PaymentSchedule[[#This Row],[BEGINNING BALANCE]]*(InterestRate/PaymentsPerYear),"")</f>
        <v>181.94200602536444</v>
      </c>
      <c r="J285" s="7">
        <f>IF(PaymentSchedule[[#This Row],[PMT NO]]&lt;&gt;"",IF(PaymentSchedule[[#This Row],[SCHEDULED PAYMENT]]+PaymentSchedule[[#This Row],[EXTRA PAYMENT]]&lt;=PaymentSchedule[[#This Row],[BEGINNING BALANCE]],PaymentSchedule[[#This Row],[BEGINNING BALANCE]]-PaymentSchedule[[#This Row],[PRINCIPAL]],0),"")</f>
        <v>48091.787907664817</v>
      </c>
      <c r="K285" s="7">
        <f>IF(PaymentSchedule[[#This Row],[PMT NO]]&lt;&gt;"",SUM(INDEX([INTEREST],1,1):PaymentSchedule[[#This Row],[INTEREST]]),"")</f>
        <v>89825.738804087552</v>
      </c>
    </row>
    <row r="286" spans="2:11">
      <c r="B286" s="4">
        <f>IF(LoanIsGood,IF(ROW()-ROW(PaymentSchedule[[#Headers],[PMT NO]])&gt;ScheduledNumberOfPayments,"",ROW()-ROW(PaymentSchedule[[#Headers],[PMT NO]])),"")</f>
        <v>267</v>
      </c>
      <c r="C286" s="5">
        <f>IF(PaymentSchedule[[#This Row],[PMT NO]]&lt;&gt;"",EOMONTH(LoanStartDate,ROW(PaymentSchedule[[#This Row],[PMT NO]])-ROW(PaymentSchedule[[#Headers],[PMT NO]])-2)+DAY(LoanStartDate),"")</f>
        <v>52171</v>
      </c>
      <c r="D286" s="7">
        <f>IF(PaymentSchedule[[#This Row],[PMT NO]]&lt;&gt;"",IF(ROW()-ROW(PaymentSchedule[[#Headers],[BEGINNING BALANCE]])=1,LoanAmount,INDEX([ENDING BALANCE],ROW()-ROW(PaymentSchedule[[#Headers],[BEGINNING BALANCE]])-1)),"")</f>
        <v>48091.787907664817</v>
      </c>
      <c r="E286" s="7">
        <f>IF(PaymentSchedule[[#This Row],[PMT NO]]&lt;&gt;"",ScheduledPayment,"")</f>
        <v>608.02237179106271</v>
      </c>
      <c r="F28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6" s="7">
        <f>IF(PaymentSchedule[[#This Row],[PMT NO]]&lt;&gt;"",PaymentSchedule[[#This Row],[TOTAL PAYMENT]]-PaymentSchedule[[#This Row],[INTEREST]],"")</f>
        <v>427.67816713731963</v>
      </c>
      <c r="I286" s="7">
        <f>IF(PaymentSchedule[[#This Row],[PMT NO]]&lt;&gt;"",PaymentSchedule[[#This Row],[BEGINNING BALANCE]]*(InterestRate/PaymentsPerYear),"")</f>
        <v>180.34420465374305</v>
      </c>
      <c r="J286" s="7">
        <f>IF(PaymentSchedule[[#This Row],[PMT NO]]&lt;&gt;"",IF(PaymentSchedule[[#This Row],[SCHEDULED PAYMENT]]+PaymentSchedule[[#This Row],[EXTRA PAYMENT]]&lt;=PaymentSchedule[[#This Row],[BEGINNING BALANCE]],PaymentSchedule[[#This Row],[BEGINNING BALANCE]]-PaymentSchedule[[#This Row],[PRINCIPAL]],0),"")</f>
        <v>47664.1097405275</v>
      </c>
      <c r="K286" s="7">
        <f>IF(PaymentSchedule[[#This Row],[PMT NO]]&lt;&gt;"",SUM(INDEX([INTEREST],1,1):PaymentSchedule[[#This Row],[INTEREST]]),"")</f>
        <v>90006.083008741291</v>
      </c>
    </row>
    <row r="287" spans="2:11">
      <c r="B287" s="4">
        <f>IF(LoanIsGood,IF(ROW()-ROW(PaymentSchedule[[#Headers],[PMT NO]])&gt;ScheduledNumberOfPayments,"",ROW()-ROW(PaymentSchedule[[#Headers],[PMT NO]])),"")</f>
        <v>268</v>
      </c>
      <c r="C287" s="5">
        <f>IF(PaymentSchedule[[#This Row],[PMT NO]]&lt;&gt;"",EOMONTH(LoanStartDate,ROW(PaymentSchedule[[#This Row],[PMT NO]])-ROW(PaymentSchedule[[#Headers],[PMT NO]])-2)+DAY(LoanStartDate),"")</f>
        <v>52201</v>
      </c>
      <c r="D287" s="7">
        <f>IF(PaymentSchedule[[#This Row],[PMT NO]]&lt;&gt;"",IF(ROW()-ROW(PaymentSchedule[[#Headers],[BEGINNING BALANCE]])=1,LoanAmount,INDEX([ENDING BALANCE],ROW()-ROW(PaymentSchedule[[#Headers],[BEGINNING BALANCE]])-1)),"")</f>
        <v>47664.1097405275</v>
      </c>
      <c r="E287" s="7">
        <f>IF(PaymentSchedule[[#This Row],[PMT NO]]&lt;&gt;"",ScheduledPayment,"")</f>
        <v>608.02237179106271</v>
      </c>
      <c r="F28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7" s="7">
        <f>IF(PaymentSchedule[[#This Row],[PMT NO]]&lt;&gt;"",PaymentSchedule[[#This Row],[TOTAL PAYMENT]]-PaymentSchedule[[#This Row],[INTEREST]],"")</f>
        <v>429.2819602640846</v>
      </c>
      <c r="I287" s="7">
        <f>IF(PaymentSchedule[[#This Row],[PMT NO]]&lt;&gt;"",PaymentSchedule[[#This Row],[BEGINNING BALANCE]]*(InterestRate/PaymentsPerYear),"")</f>
        <v>178.74041152697811</v>
      </c>
      <c r="J287" s="7">
        <f>IF(PaymentSchedule[[#This Row],[PMT NO]]&lt;&gt;"",IF(PaymentSchedule[[#This Row],[SCHEDULED PAYMENT]]+PaymentSchedule[[#This Row],[EXTRA PAYMENT]]&lt;=PaymentSchedule[[#This Row],[BEGINNING BALANCE]],PaymentSchedule[[#This Row],[BEGINNING BALANCE]]-PaymentSchedule[[#This Row],[PRINCIPAL]],0),"")</f>
        <v>47234.827780263418</v>
      </c>
      <c r="K287" s="7">
        <f>IF(PaymentSchedule[[#This Row],[PMT NO]]&lt;&gt;"",SUM(INDEX([INTEREST],1,1):PaymentSchedule[[#This Row],[INTEREST]]),"")</f>
        <v>90184.823420268265</v>
      </c>
    </row>
    <row r="288" spans="2:11">
      <c r="B288" s="4">
        <f>IF(LoanIsGood,IF(ROW()-ROW(PaymentSchedule[[#Headers],[PMT NO]])&gt;ScheduledNumberOfPayments,"",ROW()-ROW(PaymentSchedule[[#Headers],[PMT NO]])),"")</f>
        <v>269</v>
      </c>
      <c r="C288" s="5">
        <f>IF(PaymentSchedule[[#This Row],[PMT NO]]&lt;&gt;"",EOMONTH(LoanStartDate,ROW(PaymentSchedule[[#This Row],[PMT NO]])-ROW(PaymentSchedule[[#Headers],[PMT NO]])-2)+DAY(LoanStartDate),"")</f>
        <v>52232</v>
      </c>
      <c r="D288" s="7">
        <f>IF(PaymentSchedule[[#This Row],[PMT NO]]&lt;&gt;"",IF(ROW()-ROW(PaymentSchedule[[#Headers],[BEGINNING BALANCE]])=1,LoanAmount,INDEX([ENDING BALANCE],ROW()-ROW(PaymentSchedule[[#Headers],[BEGINNING BALANCE]])-1)),"")</f>
        <v>47234.827780263418</v>
      </c>
      <c r="E288" s="7">
        <f>IF(PaymentSchedule[[#This Row],[PMT NO]]&lt;&gt;"",ScheduledPayment,"")</f>
        <v>608.02237179106271</v>
      </c>
      <c r="F28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8" s="7">
        <f>IF(PaymentSchedule[[#This Row],[PMT NO]]&lt;&gt;"",PaymentSchedule[[#This Row],[TOTAL PAYMENT]]-PaymentSchedule[[#This Row],[INTEREST]],"")</f>
        <v>430.89176761507491</v>
      </c>
      <c r="I288" s="7">
        <f>IF(PaymentSchedule[[#This Row],[PMT NO]]&lt;&gt;"",PaymentSchedule[[#This Row],[BEGINNING BALANCE]]*(InterestRate/PaymentsPerYear),"")</f>
        <v>177.1306041759878</v>
      </c>
      <c r="J288" s="7">
        <f>IF(PaymentSchedule[[#This Row],[PMT NO]]&lt;&gt;"",IF(PaymentSchedule[[#This Row],[SCHEDULED PAYMENT]]+PaymentSchedule[[#This Row],[EXTRA PAYMENT]]&lt;=PaymentSchedule[[#This Row],[BEGINNING BALANCE]],PaymentSchedule[[#This Row],[BEGINNING BALANCE]]-PaymentSchedule[[#This Row],[PRINCIPAL]],0),"")</f>
        <v>46803.936012648344</v>
      </c>
      <c r="K288" s="7">
        <f>IF(PaymentSchedule[[#This Row],[PMT NO]]&lt;&gt;"",SUM(INDEX([INTEREST],1,1):PaymentSchedule[[#This Row],[INTEREST]]),"")</f>
        <v>90361.954024444247</v>
      </c>
    </row>
    <row r="289" spans="2:11">
      <c r="B289" s="4">
        <f>IF(LoanIsGood,IF(ROW()-ROW(PaymentSchedule[[#Headers],[PMT NO]])&gt;ScheduledNumberOfPayments,"",ROW()-ROW(PaymentSchedule[[#Headers],[PMT NO]])),"")</f>
        <v>270</v>
      </c>
      <c r="C289" s="5">
        <f>IF(PaymentSchedule[[#This Row],[PMT NO]]&lt;&gt;"",EOMONTH(LoanStartDate,ROW(PaymentSchedule[[#This Row],[PMT NO]])-ROW(PaymentSchedule[[#Headers],[PMT NO]])-2)+DAY(LoanStartDate),"")</f>
        <v>52263</v>
      </c>
      <c r="D289" s="7">
        <f>IF(PaymentSchedule[[#This Row],[PMT NO]]&lt;&gt;"",IF(ROW()-ROW(PaymentSchedule[[#Headers],[BEGINNING BALANCE]])=1,LoanAmount,INDEX([ENDING BALANCE],ROW()-ROW(PaymentSchedule[[#Headers],[BEGINNING BALANCE]])-1)),"")</f>
        <v>46803.936012648344</v>
      </c>
      <c r="E289" s="7">
        <f>IF(PaymentSchedule[[#This Row],[PMT NO]]&lt;&gt;"",ScheduledPayment,"")</f>
        <v>608.02237179106271</v>
      </c>
      <c r="F28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8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89" s="7">
        <f>IF(PaymentSchedule[[#This Row],[PMT NO]]&lt;&gt;"",PaymentSchedule[[#This Row],[TOTAL PAYMENT]]-PaymentSchedule[[#This Row],[INTEREST]],"")</f>
        <v>432.5076117436314</v>
      </c>
      <c r="I289" s="7">
        <f>IF(PaymentSchedule[[#This Row],[PMT NO]]&lt;&gt;"",PaymentSchedule[[#This Row],[BEGINNING BALANCE]]*(InterestRate/PaymentsPerYear),"")</f>
        <v>175.51476004743128</v>
      </c>
      <c r="J289" s="7">
        <f>IF(PaymentSchedule[[#This Row],[PMT NO]]&lt;&gt;"",IF(PaymentSchedule[[#This Row],[SCHEDULED PAYMENT]]+PaymentSchedule[[#This Row],[EXTRA PAYMENT]]&lt;=PaymentSchedule[[#This Row],[BEGINNING BALANCE]],PaymentSchedule[[#This Row],[BEGINNING BALANCE]]-PaymentSchedule[[#This Row],[PRINCIPAL]],0),"")</f>
        <v>46371.428400904711</v>
      </c>
      <c r="K289" s="7">
        <f>IF(PaymentSchedule[[#This Row],[PMT NO]]&lt;&gt;"",SUM(INDEX([INTEREST],1,1):PaymentSchedule[[#This Row],[INTEREST]]),"")</f>
        <v>90537.468784491677</v>
      </c>
    </row>
    <row r="290" spans="2:11">
      <c r="B290" s="4">
        <f>IF(LoanIsGood,IF(ROW()-ROW(PaymentSchedule[[#Headers],[PMT NO]])&gt;ScheduledNumberOfPayments,"",ROW()-ROW(PaymentSchedule[[#Headers],[PMT NO]])),"")</f>
        <v>271</v>
      </c>
      <c r="C290" s="5">
        <f>IF(PaymentSchedule[[#This Row],[PMT NO]]&lt;&gt;"",EOMONTH(LoanStartDate,ROW(PaymentSchedule[[#This Row],[PMT NO]])-ROW(PaymentSchedule[[#Headers],[PMT NO]])-2)+DAY(LoanStartDate),"")</f>
        <v>52291</v>
      </c>
      <c r="D290" s="7">
        <f>IF(PaymentSchedule[[#This Row],[PMT NO]]&lt;&gt;"",IF(ROW()-ROW(PaymentSchedule[[#Headers],[BEGINNING BALANCE]])=1,LoanAmount,INDEX([ENDING BALANCE],ROW()-ROW(PaymentSchedule[[#Headers],[BEGINNING BALANCE]])-1)),"")</f>
        <v>46371.428400904711</v>
      </c>
      <c r="E290" s="7">
        <f>IF(PaymentSchedule[[#This Row],[PMT NO]]&lt;&gt;"",ScheduledPayment,"")</f>
        <v>608.02237179106271</v>
      </c>
      <c r="F29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0" s="7">
        <f>IF(PaymentSchedule[[#This Row],[PMT NO]]&lt;&gt;"",PaymentSchedule[[#This Row],[TOTAL PAYMENT]]-PaymentSchedule[[#This Row],[INTEREST]],"")</f>
        <v>434.12951528767007</v>
      </c>
      <c r="I290" s="7">
        <f>IF(PaymentSchedule[[#This Row],[PMT NO]]&lt;&gt;"",PaymentSchedule[[#This Row],[BEGINNING BALANCE]]*(InterestRate/PaymentsPerYear),"")</f>
        <v>173.89285650339266</v>
      </c>
      <c r="J290" s="7">
        <f>IF(PaymentSchedule[[#This Row],[PMT NO]]&lt;&gt;"",IF(PaymentSchedule[[#This Row],[SCHEDULED PAYMENT]]+PaymentSchedule[[#This Row],[EXTRA PAYMENT]]&lt;=PaymentSchedule[[#This Row],[BEGINNING BALANCE]],PaymentSchedule[[#This Row],[BEGINNING BALANCE]]-PaymentSchedule[[#This Row],[PRINCIPAL]],0),"")</f>
        <v>45937.298885617041</v>
      </c>
      <c r="K290" s="7">
        <f>IF(PaymentSchedule[[#This Row],[PMT NO]]&lt;&gt;"",SUM(INDEX([INTEREST],1,1):PaymentSchedule[[#This Row],[INTEREST]]),"")</f>
        <v>90711.361640995063</v>
      </c>
    </row>
    <row r="291" spans="2:11">
      <c r="B291" s="4">
        <f>IF(LoanIsGood,IF(ROW()-ROW(PaymentSchedule[[#Headers],[PMT NO]])&gt;ScheduledNumberOfPayments,"",ROW()-ROW(PaymentSchedule[[#Headers],[PMT NO]])),"")</f>
        <v>272</v>
      </c>
      <c r="C291" s="5">
        <f>IF(PaymentSchedule[[#This Row],[PMT NO]]&lt;&gt;"",EOMONTH(LoanStartDate,ROW(PaymentSchedule[[#This Row],[PMT NO]])-ROW(PaymentSchedule[[#Headers],[PMT NO]])-2)+DAY(LoanStartDate),"")</f>
        <v>52322</v>
      </c>
      <c r="D291" s="7">
        <f>IF(PaymentSchedule[[#This Row],[PMT NO]]&lt;&gt;"",IF(ROW()-ROW(PaymentSchedule[[#Headers],[BEGINNING BALANCE]])=1,LoanAmount,INDEX([ENDING BALANCE],ROW()-ROW(PaymentSchedule[[#Headers],[BEGINNING BALANCE]])-1)),"")</f>
        <v>45937.298885617041</v>
      </c>
      <c r="E291" s="7">
        <f>IF(PaymentSchedule[[#This Row],[PMT NO]]&lt;&gt;"",ScheduledPayment,"")</f>
        <v>608.02237179106271</v>
      </c>
      <c r="F29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1" s="7">
        <f>IF(PaymentSchedule[[#This Row],[PMT NO]]&lt;&gt;"",PaymentSchedule[[#This Row],[TOTAL PAYMENT]]-PaymentSchedule[[#This Row],[INTEREST]],"")</f>
        <v>435.75750096999877</v>
      </c>
      <c r="I291" s="7">
        <f>IF(PaymentSchedule[[#This Row],[PMT NO]]&lt;&gt;"",PaymentSchedule[[#This Row],[BEGINNING BALANCE]]*(InterestRate/PaymentsPerYear),"")</f>
        <v>172.26487082106391</v>
      </c>
      <c r="J291" s="7">
        <f>IF(PaymentSchedule[[#This Row],[PMT NO]]&lt;&gt;"",IF(PaymentSchedule[[#This Row],[SCHEDULED PAYMENT]]+PaymentSchedule[[#This Row],[EXTRA PAYMENT]]&lt;=PaymentSchedule[[#This Row],[BEGINNING BALANCE]],PaymentSchedule[[#This Row],[BEGINNING BALANCE]]-PaymentSchedule[[#This Row],[PRINCIPAL]],0),"")</f>
        <v>45501.54138464704</v>
      </c>
      <c r="K291" s="7">
        <f>IF(PaymentSchedule[[#This Row],[PMT NO]]&lt;&gt;"",SUM(INDEX([INTEREST],1,1):PaymentSchedule[[#This Row],[INTEREST]]),"")</f>
        <v>90883.626511816125</v>
      </c>
    </row>
    <row r="292" spans="2:11">
      <c r="B292" s="4">
        <f>IF(LoanIsGood,IF(ROW()-ROW(PaymentSchedule[[#Headers],[PMT NO]])&gt;ScheduledNumberOfPayments,"",ROW()-ROW(PaymentSchedule[[#Headers],[PMT NO]])),"")</f>
        <v>273</v>
      </c>
      <c r="C292" s="5">
        <f>IF(PaymentSchedule[[#This Row],[PMT NO]]&lt;&gt;"",EOMONTH(LoanStartDate,ROW(PaymentSchedule[[#This Row],[PMT NO]])-ROW(PaymentSchedule[[#Headers],[PMT NO]])-2)+DAY(LoanStartDate),"")</f>
        <v>52352</v>
      </c>
      <c r="D292" s="7">
        <f>IF(PaymentSchedule[[#This Row],[PMT NO]]&lt;&gt;"",IF(ROW()-ROW(PaymentSchedule[[#Headers],[BEGINNING BALANCE]])=1,LoanAmount,INDEX([ENDING BALANCE],ROW()-ROW(PaymentSchedule[[#Headers],[BEGINNING BALANCE]])-1)),"")</f>
        <v>45501.54138464704</v>
      </c>
      <c r="E292" s="7">
        <f>IF(PaymentSchedule[[#This Row],[PMT NO]]&lt;&gt;"",ScheduledPayment,"")</f>
        <v>608.02237179106271</v>
      </c>
      <c r="F29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2" s="7">
        <f>IF(PaymentSchedule[[#This Row],[PMT NO]]&lt;&gt;"",PaymentSchedule[[#This Row],[TOTAL PAYMENT]]-PaymentSchedule[[#This Row],[INTEREST]],"")</f>
        <v>437.3915915986363</v>
      </c>
      <c r="I292" s="7">
        <f>IF(PaymentSchedule[[#This Row],[PMT NO]]&lt;&gt;"",PaymentSchedule[[#This Row],[BEGINNING BALANCE]]*(InterestRate/PaymentsPerYear),"")</f>
        <v>170.63078019242639</v>
      </c>
      <c r="J292" s="7">
        <f>IF(PaymentSchedule[[#This Row],[PMT NO]]&lt;&gt;"",IF(PaymentSchedule[[#This Row],[SCHEDULED PAYMENT]]+PaymentSchedule[[#This Row],[EXTRA PAYMENT]]&lt;=PaymentSchedule[[#This Row],[BEGINNING BALANCE]],PaymentSchedule[[#This Row],[BEGINNING BALANCE]]-PaymentSchedule[[#This Row],[PRINCIPAL]],0),"")</f>
        <v>45064.149793048404</v>
      </c>
      <c r="K292" s="7">
        <f>IF(PaymentSchedule[[#This Row],[PMT NO]]&lt;&gt;"",SUM(INDEX([INTEREST],1,1):PaymentSchedule[[#This Row],[INTEREST]]),"")</f>
        <v>91054.257292008551</v>
      </c>
    </row>
    <row r="293" spans="2:11">
      <c r="B293" s="4">
        <f>IF(LoanIsGood,IF(ROW()-ROW(PaymentSchedule[[#Headers],[PMT NO]])&gt;ScheduledNumberOfPayments,"",ROW()-ROW(PaymentSchedule[[#Headers],[PMT NO]])),"")</f>
        <v>274</v>
      </c>
      <c r="C293" s="5">
        <f>IF(PaymentSchedule[[#This Row],[PMT NO]]&lt;&gt;"",EOMONTH(LoanStartDate,ROW(PaymentSchedule[[#This Row],[PMT NO]])-ROW(PaymentSchedule[[#Headers],[PMT NO]])-2)+DAY(LoanStartDate),"")</f>
        <v>52383</v>
      </c>
      <c r="D293" s="7">
        <f>IF(PaymentSchedule[[#This Row],[PMT NO]]&lt;&gt;"",IF(ROW()-ROW(PaymentSchedule[[#Headers],[BEGINNING BALANCE]])=1,LoanAmount,INDEX([ENDING BALANCE],ROW()-ROW(PaymentSchedule[[#Headers],[BEGINNING BALANCE]])-1)),"")</f>
        <v>45064.149793048404</v>
      </c>
      <c r="E293" s="7">
        <f>IF(PaymentSchedule[[#This Row],[PMT NO]]&lt;&gt;"",ScheduledPayment,"")</f>
        <v>608.02237179106271</v>
      </c>
      <c r="F29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3" s="7">
        <f>IF(PaymentSchedule[[#This Row],[PMT NO]]&lt;&gt;"",PaymentSchedule[[#This Row],[TOTAL PAYMENT]]-PaymentSchedule[[#This Row],[INTEREST]],"")</f>
        <v>439.03181006713123</v>
      </c>
      <c r="I293" s="7">
        <f>IF(PaymentSchedule[[#This Row],[PMT NO]]&lt;&gt;"",PaymentSchedule[[#This Row],[BEGINNING BALANCE]]*(InterestRate/PaymentsPerYear),"")</f>
        <v>168.99056172393151</v>
      </c>
      <c r="J293" s="7">
        <f>IF(PaymentSchedule[[#This Row],[PMT NO]]&lt;&gt;"",IF(PaymentSchedule[[#This Row],[SCHEDULED PAYMENT]]+PaymentSchedule[[#This Row],[EXTRA PAYMENT]]&lt;=PaymentSchedule[[#This Row],[BEGINNING BALANCE]],PaymentSchedule[[#This Row],[BEGINNING BALANCE]]-PaymentSchedule[[#This Row],[PRINCIPAL]],0),"")</f>
        <v>44625.117982981275</v>
      </c>
      <c r="K293" s="7">
        <f>IF(PaymentSchedule[[#This Row],[PMT NO]]&lt;&gt;"",SUM(INDEX([INTEREST],1,1):PaymentSchedule[[#This Row],[INTEREST]]),"")</f>
        <v>91223.247853732479</v>
      </c>
    </row>
    <row r="294" spans="2:11">
      <c r="B294" s="4">
        <f>IF(LoanIsGood,IF(ROW()-ROW(PaymentSchedule[[#Headers],[PMT NO]])&gt;ScheduledNumberOfPayments,"",ROW()-ROW(PaymentSchedule[[#Headers],[PMT NO]])),"")</f>
        <v>275</v>
      </c>
      <c r="C294" s="5">
        <f>IF(PaymentSchedule[[#This Row],[PMT NO]]&lt;&gt;"",EOMONTH(LoanStartDate,ROW(PaymentSchedule[[#This Row],[PMT NO]])-ROW(PaymentSchedule[[#Headers],[PMT NO]])-2)+DAY(LoanStartDate),"")</f>
        <v>52413</v>
      </c>
      <c r="D294" s="7">
        <f>IF(PaymentSchedule[[#This Row],[PMT NO]]&lt;&gt;"",IF(ROW()-ROW(PaymentSchedule[[#Headers],[BEGINNING BALANCE]])=1,LoanAmount,INDEX([ENDING BALANCE],ROW()-ROW(PaymentSchedule[[#Headers],[BEGINNING BALANCE]])-1)),"")</f>
        <v>44625.117982981275</v>
      </c>
      <c r="E294" s="7">
        <f>IF(PaymentSchedule[[#This Row],[PMT NO]]&lt;&gt;"",ScheduledPayment,"")</f>
        <v>608.02237179106271</v>
      </c>
      <c r="F29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4" s="7">
        <f>IF(PaymentSchedule[[#This Row],[PMT NO]]&lt;&gt;"",PaymentSchedule[[#This Row],[TOTAL PAYMENT]]-PaymentSchedule[[#This Row],[INTEREST]],"")</f>
        <v>440.6781793548829</v>
      </c>
      <c r="I294" s="7">
        <f>IF(PaymentSchedule[[#This Row],[PMT NO]]&lt;&gt;"",PaymentSchedule[[#This Row],[BEGINNING BALANCE]]*(InterestRate/PaymentsPerYear),"")</f>
        <v>167.34419243617978</v>
      </c>
      <c r="J294" s="7">
        <f>IF(PaymentSchedule[[#This Row],[PMT NO]]&lt;&gt;"",IF(PaymentSchedule[[#This Row],[SCHEDULED PAYMENT]]+PaymentSchedule[[#This Row],[EXTRA PAYMENT]]&lt;=PaymentSchedule[[#This Row],[BEGINNING BALANCE]],PaymentSchedule[[#This Row],[BEGINNING BALANCE]]-PaymentSchedule[[#This Row],[PRINCIPAL]],0),"")</f>
        <v>44184.439803626396</v>
      </c>
      <c r="K294" s="7">
        <f>IF(PaymentSchedule[[#This Row],[PMT NO]]&lt;&gt;"",SUM(INDEX([INTEREST],1,1):PaymentSchedule[[#This Row],[INTEREST]]),"")</f>
        <v>91390.592046168662</v>
      </c>
    </row>
    <row r="295" spans="2:11">
      <c r="B295" s="4">
        <f>IF(LoanIsGood,IF(ROW()-ROW(PaymentSchedule[[#Headers],[PMT NO]])&gt;ScheduledNumberOfPayments,"",ROW()-ROW(PaymentSchedule[[#Headers],[PMT NO]])),"")</f>
        <v>276</v>
      </c>
      <c r="C295" s="5">
        <f>IF(PaymentSchedule[[#This Row],[PMT NO]]&lt;&gt;"",EOMONTH(LoanStartDate,ROW(PaymentSchedule[[#This Row],[PMT NO]])-ROW(PaymentSchedule[[#Headers],[PMT NO]])-2)+DAY(LoanStartDate),"")</f>
        <v>52444</v>
      </c>
      <c r="D295" s="7">
        <f>IF(PaymentSchedule[[#This Row],[PMT NO]]&lt;&gt;"",IF(ROW()-ROW(PaymentSchedule[[#Headers],[BEGINNING BALANCE]])=1,LoanAmount,INDEX([ENDING BALANCE],ROW()-ROW(PaymentSchedule[[#Headers],[BEGINNING BALANCE]])-1)),"")</f>
        <v>44184.439803626396</v>
      </c>
      <c r="E295" s="7">
        <f>IF(PaymentSchedule[[#This Row],[PMT NO]]&lt;&gt;"",ScheduledPayment,"")</f>
        <v>608.02237179106271</v>
      </c>
      <c r="F29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5" s="7">
        <f>IF(PaymentSchedule[[#This Row],[PMT NO]]&lt;&gt;"",PaymentSchedule[[#This Row],[TOTAL PAYMENT]]-PaymentSchedule[[#This Row],[INTEREST]],"")</f>
        <v>442.33072252746376</v>
      </c>
      <c r="I295" s="7">
        <f>IF(PaymentSchedule[[#This Row],[PMT NO]]&lt;&gt;"",PaymentSchedule[[#This Row],[BEGINNING BALANCE]]*(InterestRate/PaymentsPerYear),"")</f>
        <v>165.69164926359898</v>
      </c>
      <c r="J295" s="7">
        <f>IF(PaymentSchedule[[#This Row],[PMT NO]]&lt;&gt;"",IF(PaymentSchedule[[#This Row],[SCHEDULED PAYMENT]]+PaymentSchedule[[#This Row],[EXTRA PAYMENT]]&lt;=PaymentSchedule[[#This Row],[BEGINNING BALANCE]],PaymentSchedule[[#This Row],[BEGINNING BALANCE]]-PaymentSchedule[[#This Row],[PRINCIPAL]],0),"")</f>
        <v>43742.109081098934</v>
      </c>
      <c r="K295" s="7">
        <f>IF(PaymentSchedule[[#This Row],[PMT NO]]&lt;&gt;"",SUM(INDEX([INTEREST],1,1):PaymentSchedule[[#This Row],[INTEREST]]),"")</f>
        <v>91556.283695432256</v>
      </c>
    </row>
    <row r="296" spans="2:11">
      <c r="B296" s="4">
        <f>IF(LoanIsGood,IF(ROW()-ROW(PaymentSchedule[[#Headers],[PMT NO]])&gt;ScheduledNumberOfPayments,"",ROW()-ROW(PaymentSchedule[[#Headers],[PMT NO]])),"")</f>
        <v>277</v>
      </c>
      <c r="C296" s="5">
        <f>IF(PaymentSchedule[[#This Row],[PMT NO]]&lt;&gt;"",EOMONTH(LoanStartDate,ROW(PaymentSchedule[[#This Row],[PMT NO]])-ROW(PaymentSchedule[[#Headers],[PMT NO]])-2)+DAY(LoanStartDate),"")</f>
        <v>52475</v>
      </c>
      <c r="D296" s="7">
        <f>IF(PaymentSchedule[[#This Row],[PMT NO]]&lt;&gt;"",IF(ROW()-ROW(PaymentSchedule[[#Headers],[BEGINNING BALANCE]])=1,LoanAmount,INDEX([ENDING BALANCE],ROW()-ROW(PaymentSchedule[[#Headers],[BEGINNING BALANCE]])-1)),"")</f>
        <v>43742.109081098934</v>
      </c>
      <c r="E296" s="7">
        <f>IF(PaymentSchedule[[#This Row],[PMT NO]]&lt;&gt;"",ScheduledPayment,"")</f>
        <v>608.02237179106271</v>
      </c>
      <c r="F29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6" s="7">
        <f>IF(PaymentSchedule[[#This Row],[PMT NO]]&lt;&gt;"",PaymentSchedule[[#This Row],[TOTAL PAYMENT]]-PaymentSchedule[[#This Row],[INTEREST]],"")</f>
        <v>443.98946273694173</v>
      </c>
      <c r="I296" s="7">
        <f>IF(PaymentSchedule[[#This Row],[PMT NO]]&lt;&gt;"",PaymentSchedule[[#This Row],[BEGINNING BALANCE]]*(InterestRate/PaymentsPerYear),"")</f>
        <v>164.03290905412101</v>
      </c>
      <c r="J296" s="7">
        <f>IF(PaymentSchedule[[#This Row],[PMT NO]]&lt;&gt;"",IF(PaymentSchedule[[#This Row],[SCHEDULED PAYMENT]]+PaymentSchedule[[#This Row],[EXTRA PAYMENT]]&lt;=PaymentSchedule[[#This Row],[BEGINNING BALANCE]],PaymentSchedule[[#This Row],[BEGINNING BALANCE]]-PaymentSchedule[[#This Row],[PRINCIPAL]],0),"")</f>
        <v>43298.11961836199</v>
      </c>
      <c r="K296" s="7">
        <f>IF(PaymentSchedule[[#This Row],[PMT NO]]&lt;&gt;"",SUM(INDEX([INTEREST],1,1):PaymentSchedule[[#This Row],[INTEREST]]),"")</f>
        <v>91720.316604486376</v>
      </c>
    </row>
    <row r="297" spans="2:11">
      <c r="B297" s="4">
        <f>IF(LoanIsGood,IF(ROW()-ROW(PaymentSchedule[[#Headers],[PMT NO]])&gt;ScheduledNumberOfPayments,"",ROW()-ROW(PaymentSchedule[[#Headers],[PMT NO]])),"")</f>
        <v>278</v>
      </c>
      <c r="C297" s="5">
        <f>IF(PaymentSchedule[[#This Row],[PMT NO]]&lt;&gt;"",EOMONTH(LoanStartDate,ROW(PaymentSchedule[[#This Row],[PMT NO]])-ROW(PaymentSchedule[[#Headers],[PMT NO]])-2)+DAY(LoanStartDate),"")</f>
        <v>52505</v>
      </c>
      <c r="D297" s="7">
        <f>IF(PaymentSchedule[[#This Row],[PMT NO]]&lt;&gt;"",IF(ROW()-ROW(PaymentSchedule[[#Headers],[BEGINNING BALANCE]])=1,LoanAmount,INDEX([ENDING BALANCE],ROW()-ROW(PaymentSchedule[[#Headers],[BEGINNING BALANCE]])-1)),"")</f>
        <v>43298.11961836199</v>
      </c>
      <c r="E297" s="7">
        <f>IF(PaymentSchedule[[#This Row],[PMT NO]]&lt;&gt;"",ScheduledPayment,"")</f>
        <v>608.02237179106271</v>
      </c>
      <c r="F29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7" s="7">
        <f>IF(PaymentSchedule[[#This Row],[PMT NO]]&lt;&gt;"",PaymentSchedule[[#This Row],[TOTAL PAYMENT]]-PaymentSchedule[[#This Row],[INTEREST]],"")</f>
        <v>445.65442322220525</v>
      </c>
      <c r="I297" s="7">
        <f>IF(PaymentSchedule[[#This Row],[PMT NO]]&lt;&gt;"",PaymentSchedule[[#This Row],[BEGINNING BALANCE]]*(InterestRate/PaymentsPerYear),"")</f>
        <v>162.36794856885746</v>
      </c>
      <c r="J297" s="7">
        <f>IF(PaymentSchedule[[#This Row],[PMT NO]]&lt;&gt;"",IF(PaymentSchedule[[#This Row],[SCHEDULED PAYMENT]]+PaymentSchedule[[#This Row],[EXTRA PAYMENT]]&lt;=PaymentSchedule[[#This Row],[BEGINNING BALANCE]],PaymentSchedule[[#This Row],[BEGINNING BALANCE]]-PaymentSchedule[[#This Row],[PRINCIPAL]],0),"")</f>
        <v>42852.465195139783</v>
      </c>
      <c r="K297" s="7">
        <f>IF(PaymentSchedule[[#This Row],[PMT NO]]&lt;&gt;"",SUM(INDEX([INTEREST],1,1):PaymentSchedule[[#This Row],[INTEREST]]),"")</f>
        <v>91882.684553055238</v>
      </c>
    </row>
    <row r="298" spans="2:11">
      <c r="B298" s="4">
        <f>IF(LoanIsGood,IF(ROW()-ROW(PaymentSchedule[[#Headers],[PMT NO]])&gt;ScheduledNumberOfPayments,"",ROW()-ROW(PaymentSchedule[[#Headers],[PMT NO]])),"")</f>
        <v>279</v>
      </c>
      <c r="C298" s="5">
        <f>IF(PaymentSchedule[[#This Row],[PMT NO]]&lt;&gt;"",EOMONTH(LoanStartDate,ROW(PaymentSchedule[[#This Row],[PMT NO]])-ROW(PaymentSchedule[[#Headers],[PMT NO]])-2)+DAY(LoanStartDate),"")</f>
        <v>52536</v>
      </c>
      <c r="D298" s="7">
        <f>IF(PaymentSchedule[[#This Row],[PMT NO]]&lt;&gt;"",IF(ROW()-ROW(PaymentSchedule[[#Headers],[BEGINNING BALANCE]])=1,LoanAmount,INDEX([ENDING BALANCE],ROW()-ROW(PaymentSchedule[[#Headers],[BEGINNING BALANCE]])-1)),"")</f>
        <v>42852.465195139783</v>
      </c>
      <c r="E298" s="7">
        <f>IF(PaymentSchedule[[#This Row],[PMT NO]]&lt;&gt;"",ScheduledPayment,"")</f>
        <v>608.02237179106271</v>
      </c>
      <c r="F29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8" s="7">
        <f>IF(PaymentSchedule[[#This Row],[PMT NO]]&lt;&gt;"",PaymentSchedule[[#This Row],[TOTAL PAYMENT]]-PaymentSchedule[[#This Row],[INTEREST]],"")</f>
        <v>447.32562730928851</v>
      </c>
      <c r="I298" s="7">
        <f>IF(PaymentSchedule[[#This Row],[PMT NO]]&lt;&gt;"",PaymentSchedule[[#This Row],[BEGINNING BALANCE]]*(InterestRate/PaymentsPerYear),"")</f>
        <v>160.69674448177418</v>
      </c>
      <c r="J298" s="7">
        <f>IF(PaymentSchedule[[#This Row],[PMT NO]]&lt;&gt;"",IF(PaymentSchedule[[#This Row],[SCHEDULED PAYMENT]]+PaymentSchedule[[#This Row],[EXTRA PAYMENT]]&lt;=PaymentSchedule[[#This Row],[BEGINNING BALANCE]],PaymentSchedule[[#This Row],[BEGINNING BALANCE]]-PaymentSchedule[[#This Row],[PRINCIPAL]],0),"")</f>
        <v>42405.139567830491</v>
      </c>
      <c r="K298" s="7">
        <f>IF(PaymentSchedule[[#This Row],[PMT NO]]&lt;&gt;"",SUM(INDEX([INTEREST],1,1):PaymentSchedule[[#This Row],[INTEREST]]),"")</f>
        <v>92043.381297537009</v>
      </c>
    </row>
    <row r="299" spans="2:11">
      <c r="B299" s="4">
        <f>IF(LoanIsGood,IF(ROW()-ROW(PaymentSchedule[[#Headers],[PMT NO]])&gt;ScheduledNumberOfPayments,"",ROW()-ROW(PaymentSchedule[[#Headers],[PMT NO]])),"")</f>
        <v>280</v>
      </c>
      <c r="C299" s="5">
        <f>IF(PaymentSchedule[[#This Row],[PMT NO]]&lt;&gt;"",EOMONTH(LoanStartDate,ROW(PaymentSchedule[[#This Row],[PMT NO]])-ROW(PaymentSchedule[[#Headers],[PMT NO]])-2)+DAY(LoanStartDate),"")</f>
        <v>52566</v>
      </c>
      <c r="D299" s="7">
        <f>IF(PaymentSchedule[[#This Row],[PMT NO]]&lt;&gt;"",IF(ROW()-ROW(PaymentSchedule[[#Headers],[BEGINNING BALANCE]])=1,LoanAmount,INDEX([ENDING BALANCE],ROW()-ROW(PaymentSchedule[[#Headers],[BEGINNING BALANCE]])-1)),"")</f>
        <v>42405.139567830491</v>
      </c>
      <c r="E299" s="7">
        <f>IF(PaymentSchedule[[#This Row],[PMT NO]]&lt;&gt;"",ScheduledPayment,"")</f>
        <v>608.02237179106271</v>
      </c>
      <c r="F29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29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299" s="7">
        <f>IF(PaymentSchedule[[#This Row],[PMT NO]]&lt;&gt;"",PaymentSchedule[[#This Row],[TOTAL PAYMENT]]-PaymentSchedule[[#This Row],[INTEREST]],"")</f>
        <v>449.00309841169837</v>
      </c>
      <c r="I299" s="7">
        <f>IF(PaymentSchedule[[#This Row],[PMT NO]]&lt;&gt;"",PaymentSchedule[[#This Row],[BEGINNING BALANCE]]*(InterestRate/PaymentsPerYear),"")</f>
        <v>159.01927337936434</v>
      </c>
      <c r="J299" s="7">
        <f>IF(PaymentSchedule[[#This Row],[PMT NO]]&lt;&gt;"",IF(PaymentSchedule[[#This Row],[SCHEDULED PAYMENT]]+PaymentSchedule[[#This Row],[EXTRA PAYMENT]]&lt;=PaymentSchedule[[#This Row],[BEGINNING BALANCE]],PaymentSchedule[[#This Row],[BEGINNING BALANCE]]-PaymentSchedule[[#This Row],[PRINCIPAL]],0),"")</f>
        <v>41956.136469418794</v>
      </c>
      <c r="K299" s="7">
        <f>IF(PaymentSchedule[[#This Row],[PMT NO]]&lt;&gt;"",SUM(INDEX([INTEREST],1,1):PaymentSchedule[[#This Row],[INTEREST]]),"")</f>
        <v>92202.400570916376</v>
      </c>
    </row>
    <row r="300" spans="2:11">
      <c r="B300" s="4">
        <f>IF(LoanIsGood,IF(ROW()-ROW(PaymentSchedule[[#Headers],[PMT NO]])&gt;ScheduledNumberOfPayments,"",ROW()-ROW(PaymentSchedule[[#Headers],[PMT NO]])),"")</f>
        <v>281</v>
      </c>
      <c r="C300" s="5">
        <f>IF(PaymentSchedule[[#This Row],[PMT NO]]&lt;&gt;"",EOMONTH(LoanStartDate,ROW(PaymentSchedule[[#This Row],[PMT NO]])-ROW(PaymentSchedule[[#Headers],[PMT NO]])-2)+DAY(LoanStartDate),"")</f>
        <v>52597</v>
      </c>
      <c r="D300" s="7">
        <f>IF(PaymentSchedule[[#This Row],[PMT NO]]&lt;&gt;"",IF(ROW()-ROW(PaymentSchedule[[#Headers],[BEGINNING BALANCE]])=1,LoanAmount,INDEX([ENDING BALANCE],ROW()-ROW(PaymentSchedule[[#Headers],[BEGINNING BALANCE]])-1)),"")</f>
        <v>41956.136469418794</v>
      </c>
      <c r="E300" s="7">
        <f>IF(PaymentSchedule[[#This Row],[PMT NO]]&lt;&gt;"",ScheduledPayment,"")</f>
        <v>608.02237179106271</v>
      </c>
      <c r="F30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0" s="7">
        <f>IF(PaymentSchedule[[#This Row],[PMT NO]]&lt;&gt;"",PaymentSchedule[[#This Row],[TOTAL PAYMENT]]-PaymentSchedule[[#This Row],[INTEREST]],"")</f>
        <v>450.6868600307422</v>
      </c>
      <c r="I300" s="7">
        <f>IF(PaymentSchedule[[#This Row],[PMT NO]]&lt;&gt;"",PaymentSchedule[[#This Row],[BEGINNING BALANCE]]*(InterestRate/PaymentsPerYear),"")</f>
        <v>157.33551176032049</v>
      </c>
      <c r="J300" s="7">
        <f>IF(PaymentSchedule[[#This Row],[PMT NO]]&lt;&gt;"",IF(PaymentSchedule[[#This Row],[SCHEDULED PAYMENT]]+PaymentSchedule[[#This Row],[EXTRA PAYMENT]]&lt;=PaymentSchedule[[#This Row],[BEGINNING BALANCE]],PaymentSchedule[[#This Row],[BEGINNING BALANCE]]-PaymentSchedule[[#This Row],[PRINCIPAL]],0),"")</f>
        <v>41505.449609388052</v>
      </c>
      <c r="K300" s="7">
        <f>IF(PaymentSchedule[[#This Row],[PMT NO]]&lt;&gt;"",SUM(INDEX([INTEREST],1,1):PaymentSchedule[[#This Row],[INTEREST]]),"")</f>
        <v>92359.736082676696</v>
      </c>
    </row>
    <row r="301" spans="2:11">
      <c r="B301" s="4">
        <f>IF(LoanIsGood,IF(ROW()-ROW(PaymentSchedule[[#Headers],[PMT NO]])&gt;ScheduledNumberOfPayments,"",ROW()-ROW(PaymentSchedule[[#Headers],[PMT NO]])),"")</f>
        <v>282</v>
      </c>
      <c r="C301" s="5">
        <f>IF(PaymentSchedule[[#This Row],[PMT NO]]&lt;&gt;"",EOMONTH(LoanStartDate,ROW(PaymentSchedule[[#This Row],[PMT NO]])-ROW(PaymentSchedule[[#Headers],[PMT NO]])-2)+DAY(LoanStartDate),"")</f>
        <v>52628</v>
      </c>
      <c r="D301" s="7">
        <f>IF(PaymentSchedule[[#This Row],[PMT NO]]&lt;&gt;"",IF(ROW()-ROW(PaymentSchedule[[#Headers],[BEGINNING BALANCE]])=1,LoanAmount,INDEX([ENDING BALANCE],ROW()-ROW(PaymentSchedule[[#Headers],[BEGINNING BALANCE]])-1)),"")</f>
        <v>41505.449609388052</v>
      </c>
      <c r="E301" s="7">
        <f>IF(PaymentSchedule[[#This Row],[PMT NO]]&lt;&gt;"",ScheduledPayment,"")</f>
        <v>608.02237179106271</v>
      </c>
      <c r="F30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1" s="7">
        <f>IF(PaymentSchedule[[#This Row],[PMT NO]]&lt;&gt;"",PaymentSchedule[[#This Row],[TOTAL PAYMENT]]-PaymentSchedule[[#This Row],[INTEREST]],"")</f>
        <v>452.37693575585752</v>
      </c>
      <c r="I301" s="7">
        <f>IF(PaymentSchedule[[#This Row],[PMT NO]]&lt;&gt;"",PaymentSchedule[[#This Row],[BEGINNING BALANCE]]*(InterestRate/PaymentsPerYear),"")</f>
        <v>155.64543603520519</v>
      </c>
      <c r="J301" s="7">
        <f>IF(PaymentSchedule[[#This Row],[PMT NO]]&lt;&gt;"",IF(PaymentSchedule[[#This Row],[SCHEDULED PAYMENT]]+PaymentSchedule[[#This Row],[EXTRA PAYMENT]]&lt;=PaymentSchedule[[#This Row],[BEGINNING BALANCE]],PaymentSchedule[[#This Row],[BEGINNING BALANCE]]-PaymentSchedule[[#This Row],[PRINCIPAL]],0),"")</f>
        <v>41053.072673632196</v>
      </c>
      <c r="K301" s="7">
        <f>IF(PaymentSchedule[[#This Row],[PMT NO]]&lt;&gt;"",SUM(INDEX([INTEREST],1,1):PaymentSchedule[[#This Row],[INTEREST]]),"")</f>
        <v>92515.381518711903</v>
      </c>
    </row>
    <row r="302" spans="2:11">
      <c r="B302" s="4">
        <f>IF(LoanIsGood,IF(ROW()-ROW(PaymentSchedule[[#Headers],[PMT NO]])&gt;ScheduledNumberOfPayments,"",ROW()-ROW(PaymentSchedule[[#Headers],[PMT NO]])),"")</f>
        <v>283</v>
      </c>
      <c r="C302" s="5">
        <f>IF(PaymentSchedule[[#This Row],[PMT NO]]&lt;&gt;"",EOMONTH(LoanStartDate,ROW(PaymentSchedule[[#This Row],[PMT NO]])-ROW(PaymentSchedule[[#Headers],[PMT NO]])-2)+DAY(LoanStartDate),"")</f>
        <v>52657</v>
      </c>
      <c r="D302" s="7">
        <f>IF(PaymentSchedule[[#This Row],[PMT NO]]&lt;&gt;"",IF(ROW()-ROW(PaymentSchedule[[#Headers],[BEGINNING BALANCE]])=1,LoanAmount,INDEX([ENDING BALANCE],ROW()-ROW(PaymentSchedule[[#Headers],[BEGINNING BALANCE]])-1)),"")</f>
        <v>41053.072673632196</v>
      </c>
      <c r="E302" s="7">
        <f>IF(PaymentSchedule[[#This Row],[PMT NO]]&lt;&gt;"",ScheduledPayment,"")</f>
        <v>608.02237179106271</v>
      </c>
      <c r="F30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2" s="7">
        <f>IF(PaymentSchedule[[#This Row],[PMT NO]]&lt;&gt;"",PaymentSchedule[[#This Row],[TOTAL PAYMENT]]-PaymentSchedule[[#This Row],[INTEREST]],"")</f>
        <v>454.07334926494195</v>
      </c>
      <c r="I302" s="7">
        <f>IF(PaymentSchedule[[#This Row],[PMT NO]]&lt;&gt;"",PaymentSchedule[[#This Row],[BEGINNING BALANCE]]*(InterestRate/PaymentsPerYear),"")</f>
        <v>153.94902252612073</v>
      </c>
      <c r="J302" s="7">
        <f>IF(PaymentSchedule[[#This Row],[PMT NO]]&lt;&gt;"",IF(PaymentSchedule[[#This Row],[SCHEDULED PAYMENT]]+PaymentSchedule[[#This Row],[EXTRA PAYMENT]]&lt;=PaymentSchedule[[#This Row],[BEGINNING BALANCE]],PaymentSchedule[[#This Row],[BEGINNING BALANCE]]-PaymentSchedule[[#This Row],[PRINCIPAL]],0),"")</f>
        <v>40598.999324367251</v>
      </c>
      <c r="K302" s="7">
        <f>IF(PaymentSchedule[[#This Row],[PMT NO]]&lt;&gt;"",SUM(INDEX([INTEREST],1,1):PaymentSchedule[[#This Row],[INTEREST]]),"")</f>
        <v>92669.330541238029</v>
      </c>
    </row>
    <row r="303" spans="2:11">
      <c r="B303" s="4">
        <f>IF(LoanIsGood,IF(ROW()-ROW(PaymentSchedule[[#Headers],[PMT NO]])&gt;ScheduledNumberOfPayments,"",ROW()-ROW(PaymentSchedule[[#Headers],[PMT NO]])),"")</f>
        <v>284</v>
      </c>
      <c r="C303" s="5">
        <f>IF(PaymentSchedule[[#This Row],[PMT NO]]&lt;&gt;"",EOMONTH(LoanStartDate,ROW(PaymentSchedule[[#This Row],[PMT NO]])-ROW(PaymentSchedule[[#Headers],[PMT NO]])-2)+DAY(LoanStartDate),"")</f>
        <v>52688</v>
      </c>
      <c r="D303" s="7">
        <f>IF(PaymentSchedule[[#This Row],[PMT NO]]&lt;&gt;"",IF(ROW()-ROW(PaymentSchedule[[#Headers],[BEGINNING BALANCE]])=1,LoanAmount,INDEX([ENDING BALANCE],ROW()-ROW(PaymentSchedule[[#Headers],[BEGINNING BALANCE]])-1)),"")</f>
        <v>40598.999324367251</v>
      </c>
      <c r="E303" s="7">
        <f>IF(PaymentSchedule[[#This Row],[PMT NO]]&lt;&gt;"",ScheduledPayment,"")</f>
        <v>608.02237179106271</v>
      </c>
      <c r="F30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3" s="7">
        <f>IF(PaymentSchedule[[#This Row],[PMT NO]]&lt;&gt;"",PaymentSchedule[[#This Row],[TOTAL PAYMENT]]-PaymentSchedule[[#This Row],[INTEREST]],"")</f>
        <v>455.7761243246855</v>
      </c>
      <c r="I303" s="7">
        <f>IF(PaymentSchedule[[#This Row],[PMT NO]]&lt;&gt;"",PaymentSchedule[[#This Row],[BEGINNING BALANCE]]*(InterestRate/PaymentsPerYear),"")</f>
        <v>152.24624746637718</v>
      </c>
      <c r="J303" s="7">
        <f>IF(PaymentSchedule[[#This Row],[PMT NO]]&lt;&gt;"",IF(PaymentSchedule[[#This Row],[SCHEDULED PAYMENT]]+PaymentSchedule[[#This Row],[EXTRA PAYMENT]]&lt;=PaymentSchedule[[#This Row],[BEGINNING BALANCE]],PaymentSchedule[[#This Row],[BEGINNING BALANCE]]-PaymentSchedule[[#This Row],[PRINCIPAL]],0),"")</f>
        <v>40143.223200042565</v>
      </c>
      <c r="K303" s="7">
        <f>IF(PaymentSchedule[[#This Row],[PMT NO]]&lt;&gt;"",SUM(INDEX([INTEREST],1,1):PaymentSchedule[[#This Row],[INTEREST]]),"")</f>
        <v>92821.576788704406</v>
      </c>
    </row>
    <row r="304" spans="2:11">
      <c r="B304" s="4">
        <f>IF(LoanIsGood,IF(ROW()-ROW(PaymentSchedule[[#Headers],[PMT NO]])&gt;ScheduledNumberOfPayments,"",ROW()-ROW(PaymentSchedule[[#Headers],[PMT NO]])),"")</f>
        <v>285</v>
      </c>
      <c r="C304" s="5">
        <f>IF(PaymentSchedule[[#This Row],[PMT NO]]&lt;&gt;"",EOMONTH(LoanStartDate,ROW(PaymentSchedule[[#This Row],[PMT NO]])-ROW(PaymentSchedule[[#Headers],[PMT NO]])-2)+DAY(LoanStartDate),"")</f>
        <v>52718</v>
      </c>
      <c r="D304" s="7">
        <f>IF(PaymentSchedule[[#This Row],[PMT NO]]&lt;&gt;"",IF(ROW()-ROW(PaymentSchedule[[#Headers],[BEGINNING BALANCE]])=1,LoanAmount,INDEX([ENDING BALANCE],ROW()-ROW(PaymentSchedule[[#Headers],[BEGINNING BALANCE]])-1)),"")</f>
        <v>40143.223200042565</v>
      </c>
      <c r="E304" s="7">
        <f>IF(PaymentSchedule[[#This Row],[PMT NO]]&lt;&gt;"",ScheduledPayment,"")</f>
        <v>608.02237179106271</v>
      </c>
      <c r="F30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4" s="7">
        <f>IF(PaymentSchedule[[#This Row],[PMT NO]]&lt;&gt;"",PaymentSchedule[[#This Row],[TOTAL PAYMENT]]-PaymentSchedule[[#This Row],[INTEREST]],"")</f>
        <v>457.48528479090311</v>
      </c>
      <c r="I304" s="7">
        <f>IF(PaymentSchedule[[#This Row],[PMT NO]]&lt;&gt;"",PaymentSchedule[[#This Row],[BEGINNING BALANCE]]*(InterestRate/PaymentsPerYear),"")</f>
        <v>150.5370870001596</v>
      </c>
      <c r="J304" s="7">
        <f>IF(PaymentSchedule[[#This Row],[PMT NO]]&lt;&gt;"",IF(PaymentSchedule[[#This Row],[SCHEDULED PAYMENT]]+PaymentSchedule[[#This Row],[EXTRA PAYMENT]]&lt;=PaymentSchedule[[#This Row],[BEGINNING BALANCE]],PaymentSchedule[[#This Row],[BEGINNING BALANCE]]-PaymentSchedule[[#This Row],[PRINCIPAL]],0),"")</f>
        <v>39685.737915251659</v>
      </c>
      <c r="K304" s="7">
        <f>IF(PaymentSchedule[[#This Row],[PMT NO]]&lt;&gt;"",SUM(INDEX([INTEREST],1,1):PaymentSchedule[[#This Row],[INTEREST]]),"")</f>
        <v>92972.11387570457</v>
      </c>
    </row>
    <row r="305" spans="2:11">
      <c r="B305" s="4">
        <f>IF(LoanIsGood,IF(ROW()-ROW(PaymentSchedule[[#Headers],[PMT NO]])&gt;ScheduledNumberOfPayments,"",ROW()-ROW(PaymentSchedule[[#Headers],[PMT NO]])),"")</f>
        <v>286</v>
      </c>
      <c r="C305" s="5">
        <f>IF(PaymentSchedule[[#This Row],[PMT NO]]&lt;&gt;"",EOMONTH(LoanStartDate,ROW(PaymentSchedule[[#This Row],[PMT NO]])-ROW(PaymentSchedule[[#Headers],[PMT NO]])-2)+DAY(LoanStartDate),"")</f>
        <v>52749</v>
      </c>
      <c r="D305" s="7">
        <f>IF(PaymentSchedule[[#This Row],[PMT NO]]&lt;&gt;"",IF(ROW()-ROW(PaymentSchedule[[#Headers],[BEGINNING BALANCE]])=1,LoanAmount,INDEX([ENDING BALANCE],ROW()-ROW(PaymentSchedule[[#Headers],[BEGINNING BALANCE]])-1)),"")</f>
        <v>39685.737915251659</v>
      </c>
      <c r="E305" s="7">
        <f>IF(PaymentSchedule[[#This Row],[PMT NO]]&lt;&gt;"",ScheduledPayment,"")</f>
        <v>608.02237179106271</v>
      </c>
      <c r="F30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5" s="7">
        <f>IF(PaymentSchedule[[#This Row],[PMT NO]]&lt;&gt;"",PaymentSchedule[[#This Row],[TOTAL PAYMENT]]-PaymentSchedule[[#This Row],[INTEREST]],"")</f>
        <v>459.20085460886901</v>
      </c>
      <c r="I305" s="7">
        <f>IF(PaymentSchedule[[#This Row],[PMT NO]]&lt;&gt;"",PaymentSchedule[[#This Row],[BEGINNING BALANCE]]*(InterestRate/PaymentsPerYear),"")</f>
        <v>148.8215171821937</v>
      </c>
      <c r="J305" s="7">
        <f>IF(PaymentSchedule[[#This Row],[PMT NO]]&lt;&gt;"",IF(PaymentSchedule[[#This Row],[SCHEDULED PAYMENT]]+PaymentSchedule[[#This Row],[EXTRA PAYMENT]]&lt;=PaymentSchedule[[#This Row],[BEGINNING BALANCE]],PaymentSchedule[[#This Row],[BEGINNING BALANCE]]-PaymentSchedule[[#This Row],[PRINCIPAL]],0),"")</f>
        <v>39226.53706064279</v>
      </c>
      <c r="K305" s="7">
        <f>IF(PaymentSchedule[[#This Row],[PMT NO]]&lt;&gt;"",SUM(INDEX([INTEREST],1,1):PaymentSchedule[[#This Row],[INTEREST]]),"")</f>
        <v>93120.935392886764</v>
      </c>
    </row>
    <row r="306" spans="2:11">
      <c r="B306" s="4">
        <f>IF(LoanIsGood,IF(ROW()-ROW(PaymentSchedule[[#Headers],[PMT NO]])&gt;ScheduledNumberOfPayments,"",ROW()-ROW(PaymentSchedule[[#Headers],[PMT NO]])),"")</f>
        <v>287</v>
      </c>
      <c r="C306" s="5">
        <f>IF(PaymentSchedule[[#This Row],[PMT NO]]&lt;&gt;"",EOMONTH(LoanStartDate,ROW(PaymentSchedule[[#This Row],[PMT NO]])-ROW(PaymentSchedule[[#Headers],[PMT NO]])-2)+DAY(LoanStartDate),"")</f>
        <v>52779</v>
      </c>
      <c r="D306" s="7">
        <f>IF(PaymentSchedule[[#This Row],[PMT NO]]&lt;&gt;"",IF(ROW()-ROW(PaymentSchedule[[#Headers],[BEGINNING BALANCE]])=1,LoanAmount,INDEX([ENDING BALANCE],ROW()-ROW(PaymentSchedule[[#Headers],[BEGINNING BALANCE]])-1)),"")</f>
        <v>39226.53706064279</v>
      </c>
      <c r="E306" s="7">
        <f>IF(PaymentSchedule[[#This Row],[PMT NO]]&lt;&gt;"",ScheduledPayment,"")</f>
        <v>608.02237179106271</v>
      </c>
      <c r="F30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6" s="7">
        <f>IF(PaymentSchedule[[#This Row],[PMT NO]]&lt;&gt;"",PaymentSchedule[[#This Row],[TOTAL PAYMENT]]-PaymentSchedule[[#This Row],[INTEREST]],"")</f>
        <v>460.92285781365229</v>
      </c>
      <c r="I306" s="7">
        <f>IF(PaymentSchedule[[#This Row],[PMT NO]]&lt;&gt;"",PaymentSchedule[[#This Row],[BEGINNING BALANCE]]*(InterestRate/PaymentsPerYear),"")</f>
        <v>147.09951397741045</v>
      </c>
      <c r="J306" s="7">
        <f>IF(PaymentSchedule[[#This Row],[PMT NO]]&lt;&gt;"",IF(PaymentSchedule[[#This Row],[SCHEDULED PAYMENT]]+PaymentSchedule[[#This Row],[EXTRA PAYMENT]]&lt;=PaymentSchedule[[#This Row],[BEGINNING BALANCE]],PaymentSchedule[[#This Row],[BEGINNING BALANCE]]-PaymentSchedule[[#This Row],[PRINCIPAL]],0),"")</f>
        <v>38765.614202829136</v>
      </c>
      <c r="K306" s="7">
        <f>IF(PaymentSchedule[[#This Row],[PMT NO]]&lt;&gt;"",SUM(INDEX([INTEREST],1,1):PaymentSchedule[[#This Row],[INTEREST]]),"")</f>
        <v>93268.034906864181</v>
      </c>
    </row>
    <row r="307" spans="2:11">
      <c r="B307" s="4">
        <f>IF(LoanIsGood,IF(ROW()-ROW(PaymentSchedule[[#Headers],[PMT NO]])&gt;ScheduledNumberOfPayments,"",ROW()-ROW(PaymentSchedule[[#Headers],[PMT NO]])),"")</f>
        <v>288</v>
      </c>
      <c r="C307" s="5">
        <f>IF(PaymentSchedule[[#This Row],[PMT NO]]&lt;&gt;"",EOMONTH(LoanStartDate,ROW(PaymentSchedule[[#This Row],[PMT NO]])-ROW(PaymentSchedule[[#Headers],[PMT NO]])-2)+DAY(LoanStartDate),"")</f>
        <v>52810</v>
      </c>
      <c r="D307" s="7">
        <f>IF(PaymentSchedule[[#This Row],[PMT NO]]&lt;&gt;"",IF(ROW()-ROW(PaymentSchedule[[#Headers],[BEGINNING BALANCE]])=1,LoanAmount,INDEX([ENDING BALANCE],ROW()-ROW(PaymentSchedule[[#Headers],[BEGINNING BALANCE]])-1)),"")</f>
        <v>38765.614202829136</v>
      </c>
      <c r="E307" s="7">
        <f>IF(PaymentSchedule[[#This Row],[PMT NO]]&lt;&gt;"",ScheduledPayment,"")</f>
        <v>608.02237179106271</v>
      </c>
      <c r="F30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7" s="7">
        <f>IF(PaymentSchedule[[#This Row],[PMT NO]]&lt;&gt;"",PaymentSchedule[[#This Row],[TOTAL PAYMENT]]-PaymentSchedule[[#This Row],[INTEREST]],"")</f>
        <v>462.65131853045347</v>
      </c>
      <c r="I307" s="7">
        <f>IF(PaymentSchedule[[#This Row],[PMT NO]]&lt;&gt;"",PaymentSchedule[[#This Row],[BEGINNING BALANCE]]*(InterestRate/PaymentsPerYear),"")</f>
        <v>145.37105326060924</v>
      </c>
      <c r="J307" s="7">
        <f>IF(PaymentSchedule[[#This Row],[PMT NO]]&lt;&gt;"",IF(PaymentSchedule[[#This Row],[SCHEDULED PAYMENT]]+PaymentSchedule[[#This Row],[EXTRA PAYMENT]]&lt;=PaymentSchedule[[#This Row],[BEGINNING BALANCE]],PaymentSchedule[[#This Row],[BEGINNING BALANCE]]-PaymentSchedule[[#This Row],[PRINCIPAL]],0),"")</f>
        <v>38302.962884298686</v>
      </c>
      <c r="K307" s="7">
        <f>IF(PaymentSchedule[[#This Row],[PMT NO]]&lt;&gt;"",SUM(INDEX([INTEREST],1,1):PaymentSchedule[[#This Row],[INTEREST]]),"")</f>
        <v>93413.405960124786</v>
      </c>
    </row>
    <row r="308" spans="2:11">
      <c r="B308" s="4">
        <f>IF(LoanIsGood,IF(ROW()-ROW(PaymentSchedule[[#Headers],[PMT NO]])&gt;ScheduledNumberOfPayments,"",ROW()-ROW(PaymentSchedule[[#Headers],[PMT NO]])),"")</f>
        <v>289</v>
      </c>
      <c r="C308" s="5">
        <f>IF(PaymentSchedule[[#This Row],[PMT NO]]&lt;&gt;"",EOMONTH(LoanStartDate,ROW(PaymentSchedule[[#This Row],[PMT NO]])-ROW(PaymentSchedule[[#Headers],[PMT NO]])-2)+DAY(LoanStartDate),"")</f>
        <v>52841</v>
      </c>
      <c r="D308" s="7">
        <f>IF(PaymentSchedule[[#This Row],[PMT NO]]&lt;&gt;"",IF(ROW()-ROW(PaymentSchedule[[#Headers],[BEGINNING BALANCE]])=1,LoanAmount,INDEX([ENDING BALANCE],ROW()-ROW(PaymentSchedule[[#Headers],[BEGINNING BALANCE]])-1)),"")</f>
        <v>38302.962884298686</v>
      </c>
      <c r="E308" s="7">
        <f>IF(PaymentSchedule[[#This Row],[PMT NO]]&lt;&gt;"",ScheduledPayment,"")</f>
        <v>608.02237179106271</v>
      </c>
      <c r="F30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8" s="7">
        <f>IF(PaymentSchedule[[#This Row],[PMT NO]]&lt;&gt;"",PaymentSchedule[[#This Row],[TOTAL PAYMENT]]-PaymentSchedule[[#This Row],[INTEREST]],"")</f>
        <v>464.38626097494262</v>
      </c>
      <c r="I308" s="7">
        <f>IF(PaymentSchedule[[#This Row],[PMT NO]]&lt;&gt;"",PaymentSchedule[[#This Row],[BEGINNING BALANCE]]*(InterestRate/PaymentsPerYear),"")</f>
        <v>143.63611081612007</v>
      </c>
      <c r="J308" s="7">
        <f>IF(PaymentSchedule[[#This Row],[PMT NO]]&lt;&gt;"",IF(PaymentSchedule[[#This Row],[SCHEDULED PAYMENT]]+PaymentSchedule[[#This Row],[EXTRA PAYMENT]]&lt;=PaymentSchedule[[#This Row],[BEGINNING BALANCE]],PaymentSchedule[[#This Row],[BEGINNING BALANCE]]-PaymentSchedule[[#This Row],[PRINCIPAL]],0),"")</f>
        <v>37838.576623323745</v>
      </c>
      <c r="K308" s="7">
        <f>IF(PaymentSchedule[[#This Row],[PMT NO]]&lt;&gt;"",SUM(INDEX([INTEREST],1,1):PaymentSchedule[[#This Row],[INTEREST]]),"")</f>
        <v>93557.042070940908</v>
      </c>
    </row>
    <row r="309" spans="2:11">
      <c r="B309" s="4">
        <f>IF(LoanIsGood,IF(ROW()-ROW(PaymentSchedule[[#Headers],[PMT NO]])&gt;ScheduledNumberOfPayments,"",ROW()-ROW(PaymentSchedule[[#Headers],[PMT NO]])),"")</f>
        <v>290</v>
      </c>
      <c r="C309" s="5">
        <f>IF(PaymentSchedule[[#This Row],[PMT NO]]&lt;&gt;"",EOMONTH(LoanStartDate,ROW(PaymentSchedule[[#This Row],[PMT NO]])-ROW(PaymentSchedule[[#Headers],[PMT NO]])-2)+DAY(LoanStartDate),"")</f>
        <v>52871</v>
      </c>
      <c r="D309" s="7">
        <f>IF(PaymentSchedule[[#This Row],[PMT NO]]&lt;&gt;"",IF(ROW()-ROW(PaymentSchedule[[#Headers],[BEGINNING BALANCE]])=1,LoanAmount,INDEX([ENDING BALANCE],ROW()-ROW(PaymentSchedule[[#Headers],[BEGINNING BALANCE]])-1)),"")</f>
        <v>37838.576623323745</v>
      </c>
      <c r="E309" s="7">
        <f>IF(PaymentSchedule[[#This Row],[PMT NO]]&lt;&gt;"",ScheduledPayment,"")</f>
        <v>608.02237179106271</v>
      </c>
      <c r="F30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0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09" s="7">
        <f>IF(PaymentSchedule[[#This Row],[PMT NO]]&lt;&gt;"",PaymentSchedule[[#This Row],[TOTAL PAYMENT]]-PaymentSchedule[[#This Row],[INTEREST]],"")</f>
        <v>466.12770945359864</v>
      </c>
      <c r="I309" s="7">
        <f>IF(PaymentSchedule[[#This Row],[PMT NO]]&lt;&gt;"",PaymentSchedule[[#This Row],[BEGINNING BALANCE]]*(InterestRate/PaymentsPerYear),"")</f>
        <v>141.89466233746404</v>
      </c>
      <c r="J309" s="7">
        <f>IF(PaymentSchedule[[#This Row],[PMT NO]]&lt;&gt;"",IF(PaymentSchedule[[#This Row],[SCHEDULED PAYMENT]]+PaymentSchedule[[#This Row],[EXTRA PAYMENT]]&lt;=PaymentSchedule[[#This Row],[BEGINNING BALANCE]],PaymentSchedule[[#This Row],[BEGINNING BALANCE]]-PaymentSchedule[[#This Row],[PRINCIPAL]],0),"")</f>
        <v>37372.448913870146</v>
      </c>
      <c r="K309" s="7">
        <f>IF(PaymentSchedule[[#This Row],[PMT NO]]&lt;&gt;"",SUM(INDEX([INTEREST],1,1):PaymentSchedule[[#This Row],[INTEREST]]),"")</f>
        <v>93698.936733278373</v>
      </c>
    </row>
    <row r="310" spans="2:11">
      <c r="B310" s="4">
        <f>IF(LoanIsGood,IF(ROW()-ROW(PaymentSchedule[[#Headers],[PMT NO]])&gt;ScheduledNumberOfPayments,"",ROW()-ROW(PaymentSchedule[[#Headers],[PMT NO]])),"")</f>
        <v>291</v>
      </c>
      <c r="C310" s="5">
        <f>IF(PaymentSchedule[[#This Row],[PMT NO]]&lt;&gt;"",EOMONTH(LoanStartDate,ROW(PaymentSchedule[[#This Row],[PMT NO]])-ROW(PaymentSchedule[[#Headers],[PMT NO]])-2)+DAY(LoanStartDate),"")</f>
        <v>52902</v>
      </c>
      <c r="D310" s="7">
        <f>IF(PaymentSchedule[[#This Row],[PMT NO]]&lt;&gt;"",IF(ROW()-ROW(PaymentSchedule[[#Headers],[BEGINNING BALANCE]])=1,LoanAmount,INDEX([ENDING BALANCE],ROW()-ROW(PaymentSchedule[[#Headers],[BEGINNING BALANCE]])-1)),"")</f>
        <v>37372.448913870146</v>
      </c>
      <c r="E310" s="7">
        <f>IF(PaymentSchedule[[#This Row],[PMT NO]]&lt;&gt;"",ScheduledPayment,"")</f>
        <v>608.02237179106271</v>
      </c>
      <c r="F31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0" s="7">
        <f>IF(PaymentSchedule[[#This Row],[PMT NO]]&lt;&gt;"",PaymentSchedule[[#This Row],[TOTAL PAYMENT]]-PaymentSchedule[[#This Row],[INTEREST]],"")</f>
        <v>467.87568836404967</v>
      </c>
      <c r="I310" s="7">
        <f>IF(PaymentSchedule[[#This Row],[PMT NO]]&lt;&gt;"",PaymentSchedule[[#This Row],[BEGINNING BALANCE]]*(InterestRate/PaymentsPerYear),"")</f>
        <v>140.14668342701304</v>
      </c>
      <c r="J310" s="7">
        <f>IF(PaymentSchedule[[#This Row],[PMT NO]]&lt;&gt;"",IF(PaymentSchedule[[#This Row],[SCHEDULED PAYMENT]]+PaymentSchedule[[#This Row],[EXTRA PAYMENT]]&lt;=PaymentSchedule[[#This Row],[BEGINNING BALANCE]],PaymentSchedule[[#This Row],[BEGINNING BALANCE]]-PaymentSchedule[[#This Row],[PRINCIPAL]],0),"")</f>
        <v>36904.573225506094</v>
      </c>
      <c r="K310" s="7">
        <f>IF(PaymentSchedule[[#This Row],[PMT NO]]&lt;&gt;"",SUM(INDEX([INTEREST],1,1):PaymentSchedule[[#This Row],[INTEREST]]),"")</f>
        <v>93839.083416705384</v>
      </c>
    </row>
    <row r="311" spans="2:11">
      <c r="B311" s="4">
        <f>IF(LoanIsGood,IF(ROW()-ROW(PaymentSchedule[[#Headers],[PMT NO]])&gt;ScheduledNumberOfPayments,"",ROW()-ROW(PaymentSchedule[[#Headers],[PMT NO]])),"")</f>
        <v>292</v>
      </c>
      <c r="C311" s="5">
        <f>IF(PaymentSchedule[[#This Row],[PMT NO]]&lt;&gt;"",EOMONTH(LoanStartDate,ROW(PaymentSchedule[[#This Row],[PMT NO]])-ROW(PaymentSchedule[[#Headers],[PMT NO]])-2)+DAY(LoanStartDate),"")</f>
        <v>52932</v>
      </c>
      <c r="D311" s="7">
        <f>IF(PaymentSchedule[[#This Row],[PMT NO]]&lt;&gt;"",IF(ROW()-ROW(PaymentSchedule[[#Headers],[BEGINNING BALANCE]])=1,LoanAmount,INDEX([ENDING BALANCE],ROW()-ROW(PaymentSchedule[[#Headers],[BEGINNING BALANCE]])-1)),"")</f>
        <v>36904.573225506094</v>
      </c>
      <c r="E311" s="7">
        <f>IF(PaymentSchedule[[#This Row],[PMT NO]]&lt;&gt;"",ScheduledPayment,"")</f>
        <v>608.02237179106271</v>
      </c>
      <c r="F31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1" s="7">
        <f>IF(PaymentSchedule[[#This Row],[PMT NO]]&lt;&gt;"",PaymentSchedule[[#This Row],[TOTAL PAYMENT]]-PaymentSchedule[[#This Row],[INTEREST]],"")</f>
        <v>469.63022219541483</v>
      </c>
      <c r="I311" s="7">
        <f>IF(PaymentSchedule[[#This Row],[PMT NO]]&lt;&gt;"",PaymentSchedule[[#This Row],[BEGINNING BALANCE]]*(InterestRate/PaymentsPerYear),"")</f>
        <v>138.39214959564785</v>
      </c>
      <c r="J311" s="7">
        <f>IF(PaymentSchedule[[#This Row],[PMT NO]]&lt;&gt;"",IF(PaymentSchedule[[#This Row],[SCHEDULED PAYMENT]]+PaymentSchedule[[#This Row],[EXTRA PAYMENT]]&lt;=PaymentSchedule[[#This Row],[BEGINNING BALANCE]],PaymentSchedule[[#This Row],[BEGINNING BALANCE]]-PaymentSchedule[[#This Row],[PRINCIPAL]],0),"")</f>
        <v>36434.943003310676</v>
      </c>
      <c r="K311" s="7">
        <f>IF(PaymentSchedule[[#This Row],[PMT NO]]&lt;&gt;"",SUM(INDEX([INTEREST],1,1):PaymentSchedule[[#This Row],[INTEREST]]),"")</f>
        <v>93977.475566301029</v>
      </c>
    </row>
    <row r="312" spans="2:11">
      <c r="B312" s="4">
        <f>IF(LoanIsGood,IF(ROW()-ROW(PaymentSchedule[[#Headers],[PMT NO]])&gt;ScheduledNumberOfPayments,"",ROW()-ROW(PaymentSchedule[[#Headers],[PMT NO]])),"")</f>
        <v>293</v>
      </c>
      <c r="C312" s="5">
        <f>IF(PaymentSchedule[[#This Row],[PMT NO]]&lt;&gt;"",EOMONTH(LoanStartDate,ROW(PaymentSchedule[[#This Row],[PMT NO]])-ROW(PaymentSchedule[[#Headers],[PMT NO]])-2)+DAY(LoanStartDate),"")</f>
        <v>52963</v>
      </c>
      <c r="D312" s="7">
        <f>IF(PaymentSchedule[[#This Row],[PMT NO]]&lt;&gt;"",IF(ROW()-ROW(PaymentSchedule[[#Headers],[BEGINNING BALANCE]])=1,LoanAmount,INDEX([ENDING BALANCE],ROW()-ROW(PaymentSchedule[[#Headers],[BEGINNING BALANCE]])-1)),"")</f>
        <v>36434.943003310676</v>
      </c>
      <c r="E312" s="7">
        <f>IF(PaymentSchedule[[#This Row],[PMT NO]]&lt;&gt;"",ScheduledPayment,"")</f>
        <v>608.02237179106271</v>
      </c>
      <c r="F31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2" s="7">
        <f>IF(PaymentSchedule[[#This Row],[PMT NO]]&lt;&gt;"",PaymentSchedule[[#This Row],[TOTAL PAYMENT]]-PaymentSchedule[[#This Row],[INTEREST]],"")</f>
        <v>471.39133552864769</v>
      </c>
      <c r="I312" s="7">
        <f>IF(PaymentSchedule[[#This Row],[PMT NO]]&lt;&gt;"",PaymentSchedule[[#This Row],[BEGINNING BALANCE]]*(InterestRate/PaymentsPerYear),"")</f>
        <v>136.63103626241502</v>
      </c>
      <c r="J312" s="7">
        <f>IF(PaymentSchedule[[#This Row],[PMT NO]]&lt;&gt;"",IF(PaymentSchedule[[#This Row],[SCHEDULED PAYMENT]]+PaymentSchedule[[#This Row],[EXTRA PAYMENT]]&lt;=PaymentSchedule[[#This Row],[BEGINNING BALANCE]],PaymentSchedule[[#This Row],[BEGINNING BALANCE]]-PaymentSchedule[[#This Row],[PRINCIPAL]],0),"")</f>
        <v>35963.551667782027</v>
      </c>
      <c r="K312" s="7">
        <f>IF(PaymentSchedule[[#This Row],[PMT NO]]&lt;&gt;"",SUM(INDEX([INTEREST],1,1):PaymentSchedule[[#This Row],[INTEREST]]),"")</f>
        <v>94114.10660256345</v>
      </c>
    </row>
    <row r="313" spans="2:11">
      <c r="B313" s="4">
        <f>IF(LoanIsGood,IF(ROW()-ROW(PaymentSchedule[[#Headers],[PMT NO]])&gt;ScheduledNumberOfPayments,"",ROW()-ROW(PaymentSchedule[[#Headers],[PMT NO]])),"")</f>
        <v>294</v>
      </c>
      <c r="C313" s="5">
        <f>IF(PaymentSchedule[[#This Row],[PMT NO]]&lt;&gt;"",EOMONTH(LoanStartDate,ROW(PaymentSchedule[[#This Row],[PMT NO]])-ROW(PaymentSchedule[[#Headers],[PMT NO]])-2)+DAY(LoanStartDate),"")</f>
        <v>52994</v>
      </c>
      <c r="D313" s="7">
        <f>IF(PaymentSchedule[[#This Row],[PMT NO]]&lt;&gt;"",IF(ROW()-ROW(PaymentSchedule[[#Headers],[BEGINNING BALANCE]])=1,LoanAmount,INDEX([ENDING BALANCE],ROW()-ROW(PaymentSchedule[[#Headers],[BEGINNING BALANCE]])-1)),"")</f>
        <v>35963.551667782027</v>
      </c>
      <c r="E313" s="7">
        <f>IF(PaymentSchedule[[#This Row],[PMT NO]]&lt;&gt;"",ScheduledPayment,"")</f>
        <v>608.02237179106271</v>
      </c>
      <c r="F31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3" s="7">
        <f>IF(PaymentSchedule[[#This Row],[PMT NO]]&lt;&gt;"",PaymentSchedule[[#This Row],[TOTAL PAYMENT]]-PaymentSchedule[[#This Row],[INTEREST]],"")</f>
        <v>473.1590530368801</v>
      </c>
      <c r="I313" s="7">
        <f>IF(PaymentSchedule[[#This Row],[PMT NO]]&lt;&gt;"",PaymentSchedule[[#This Row],[BEGINNING BALANCE]]*(InterestRate/PaymentsPerYear),"")</f>
        <v>134.86331875418259</v>
      </c>
      <c r="J313" s="7">
        <f>IF(PaymentSchedule[[#This Row],[PMT NO]]&lt;&gt;"",IF(PaymentSchedule[[#This Row],[SCHEDULED PAYMENT]]+PaymentSchedule[[#This Row],[EXTRA PAYMENT]]&lt;=PaymentSchedule[[#This Row],[BEGINNING BALANCE]],PaymentSchedule[[#This Row],[BEGINNING BALANCE]]-PaymentSchedule[[#This Row],[PRINCIPAL]],0),"")</f>
        <v>35490.392614745149</v>
      </c>
      <c r="K313" s="7">
        <f>IF(PaymentSchedule[[#This Row],[PMT NO]]&lt;&gt;"",SUM(INDEX([INTEREST],1,1):PaymentSchedule[[#This Row],[INTEREST]]),"")</f>
        <v>94248.969921317635</v>
      </c>
    </row>
    <row r="314" spans="2:11">
      <c r="B314" s="4">
        <f>IF(LoanIsGood,IF(ROW()-ROW(PaymentSchedule[[#Headers],[PMT NO]])&gt;ScheduledNumberOfPayments,"",ROW()-ROW(PaymentSchedule[[#Headers],[PMT NO]])),"")</f>
        <v>295</v>
      </c>
      <c r="C314" s="5">
        <f>IF(PaymentSchedule[[#This Row],[PMT NO]]&lt;&gt;"",EOMONTH(LoanStartDate,ROW(PaymentSchedule[[#This Row],[PMT NO]])-ROW(PaymentSchedule[[#Headers],[PMT NO]])-2)+DAY(LoanStartDate),"")</f>
        <v>53022</v>
      </c>
      <c r="D314" s="7">
        <f>IF(PaymentSchedule[[#This Row],[PMT NO]]&lt;&gt;"",IF(ROW()-ROW(PaymentSchedule[[#Headers],[BEGINNING BALANCE]])=1,LoanAmount,INDEX([ENDING BALANCE],ROW()-ROW(PaymentSchedule[[#Headers],[BEGINNING BALANCE]])-1)),"")</f>
        <v>35490.392614745149</v>
      </c>
      <c r="E314" s="7">
        <f>IF(PaymentSchedule[[#This Row],[PMT NO]]&lt;&gt;"",ScheduledPayment,"")</f>
        <v>608.02237179106271</v>
      </c>
      <c r="F31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4" s="7">
        <f>IF(PaymentSchedule[[#This Row],[PMT NO]]&lt;&gt;"",PaymentSchedule[[#This Row],[TOTAL PAYMENT]]-PaymentSchedule[[#This Row],[INTEREST]],"")</f>
        <v>474.9333994857684</v>
      </c>
      <c r="I314" s="7">
        <f>IF(PaymentSchedule[[#This Row],[PMT NO]]&lt;&gt;"",PaymentSchedule[[#This Row],[BEGINNING BALANCE]]*(InterestRate/PaymentsPerYear),"")</f>
        <v>133.08897230529431</v>
      </c>
      <c r="J314" s="7">
        <f>IF(PaymentSchedule[[#This Row],[PMT NO]]&lt;&gt;"",IF(PaymentSchedule[[#This Row],[SCHEDULED PAYMENT]]+PaymentSchedule[[#This Row],[EXTRA PAYMENT]]&lt;=PaymentSchedule[[#This Row],[BEGINNING BALANCE]],PaymentSchedule[[#This Row],[BEGINNING BALANCE]]-PaymentSchedule[[#This Row],[PRINCIPAL]],0),"")</f>
        <v>35015.459215259383</v>
      </c>
      <c r="K314" s="7">
        <f>IF(PaymentSchedule[[#This Row],[PMT NO]]&lt;&gt;"",SUM(INDEX([INTEREST],1,1):PaymentSchedule[[#This Row],[INTEREST]]),"")</f>
        <v>94382.058893622932</v>
      </c>
    </row>
    <row r="315" spans="2:11">
      <c r="B315" s="4">
        <f>IF(LoanIsGood,IF(ROW()-ROW(PaymentSchedule[[#Headers],[PMT NO]])&gt;ScheduledNumberOfPayments,"",ROW()-ROW(PaymentSchedule[[#Headers],[PMT NO]])),"")</f>
        <v>296</v>
      </c>
      <c r="C315" s="5">
        <f>IF(PaymentSchedule[[#This Row],[PMT NO]]&lt;&gt;"",EOMONTH(LoanStartDate,ROW(PaymentSchedule[[#This Row],[PMT NO]])-ROW(PaymentSchedule[[#Headers],[PMT NO]])-2)+DAY(LoanStartDate),"")</f>
        <v>53053</v>
      </c>
      <c r="D315" s="7">
        <f>IF(PaymentSchedule[[#This Row],[PMT NO]]&lt;&gt;"",IF(ROW()-ROW(PaymentSchedule[[#Headers],[BEGINNING BALANCE]])=1,LoanAmount,INDEX([ENDING BALANCE],ROW()-ROW(PaymentSchedule[[#Headers],[BEGINNING BALANCE]])-1)),"")</f>
        <v>35015.459215259383</v>
      </c>
      <c r="E315" s="7">
        <f>IF(PaymentSchedule[[#This Row],[PMT NO]]&lt;&gt;"",ScheduledPayment,"")</f>
        <v>608.02237179106271</v>
      </c>
      <c r="F31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5" s="7">
        <f>IF(PaymentSchedule[[#This Row],[PMT NO]]&lt;&gt;"",PaymentSchedule[[#This Row],[TOTAL PAYMENT]]-PaymentSchedule[[#This Row],[INTEREST]],"")</f>
        <v>476.71439973384003</v>
      </c>
      <c r="I315" s="7">
        <f>IF(PaymentSchedule[[#This Row],[PMT NO]]&lt;&gt;"",PaymentSchedule[[#This Row],[BEGINNING BALANCE]]*(InterestRate/PaymentsPerYear),"")</f>
        <v>131.30797205722268</v>
      </c>
      <c r="J315" s="7">
        <f>IF(PaymentSchedule[[#This Row],[PMT NO]]&lt;&gt;"",IF(PaymentSchedule[[#This Row],[SCHEDULED PAYMENT]]+PaymentSchedule[[#This Row],[EXTRA PAYMENT]]&lt;=PaymentSchedule[[#This Row],[BEGINNING BALANCE]],PaymentSchedule[[#This Row],[BEGINNING BALANCE]]-PaymentSchedule[[#This Row],[PRINCIPAL]],0),"")</f>
        <v>34538.744815525541</v>
      </c>
      <c r="K315" s="7">
        <f>IF(PaymentSchedule[[#This Row],[PMT NO]]&lt;&gt;"",SUM(INDEX([INTEREST],1,1):PaymentSchedule[[#This Row],[INTEREST]]),"")</f>
        <v>94513.36686568016</v>
      </c>
    </row>
    <row r="316" spans="2:11">
      <c r="B316" s="4">
        <f>IF(LoanIsGood,IF(ROW()-ROW(PaymentSchedule[[#Headers],[PMT NO]])&gt;ScheduledNumberOfPayments,"",ROW()-ROW(PaymentSchedule[[#Headers],[PMT NO]])),"")</f>
        <v>297</v>
      </c>
      <c r="C316" s="5">
        <f>IF(PaymentSchedule[[#This Row],[PMT NO]]&lt;&gt;"",EOMONTH(LoanStartDate,ROW(PaymentSchedule[[#This Row],[PMT NO]])-ROW(PaymentSchedule[[#Headers],[PMT NO]])-2)+DAY(LoanStartDate),"")</f>
        <v>53083</v>
      </c>
      <c r="D316" s="7">
        <f>IF(PaymentSchedule[[#This Row],[PMT NO]]&lt;&gt;"",IF(ROW()-ROW(PaymentSchedule[[#Headers],[BEGINNING BALANCE]])=1,LoanAmount,INDEX([ENDING BALANCE],ROW()-ROW(PaymentSchedule[[#Headers],[BEGINNING BALANCE]])-1)),"")</f>
        <v>34538.744815525541</v>
      </c>
      <c r="E316" s="7">
        <f>IF(PaymentSchedule[[#This Row],[PMT NO]]&lt;&gt;"",ScheduledPayment,"")</f>
        <v>608.02237179106271</v>
      </c>
      <c r="F31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6" s="7">
        <f>IF(PaymentSchedule[[#This Row],[PMT NO]]&lt;&gt;"",PaymentSchedule[[#This Row],[TOTAL PAYMENT]]-PaymentSchedule[[#This Row],[INTEREST]],"")</f>
        <v>478.50207873284194</v>
      </c>
      <c r="I316" s="7">
        <f>IF(PaymentSchedule[[#This Row],[PMT NO]]&lt;&gt;"",PaymentSchedule[[#This Row],[BEGINNING BALANCE]]*(InterestRate/PaymentsPerYear),"")</f>
        <v>129.52029305822077</v>
      </c>
      <c r="J316" s="7">
        <f>IF(PaymentSchedule[[#This Row],[PMT NO]]&lt;&gt;"",IF(PaymentSchedule[[#This Row],[SCHEDULED PAYMENT]]+PaymentSchedule[[#This Row],[EXTRA PAYMENT]]&lt;=PaymentSchedule[[#This Row],[BEGINNING BALANCE]],PaymentSchedule[[#This Row],[BEGINNING BALANCE]]-PaymentSchedule[[#This Row],[PRINCIPAL]],0),"")</f>
        <v>34060.242736792701</v>
      </c>
      <c r="K316" s="7">
        <f>IF(PaymentSchedule[[#This Row],[PMT NO]]&lt;&gt;"",SUM(INDEX([INTEREST],1,1):PaymentSchedule[[#This Row],[INTEREST]]),"")</f>
        <v>94642.887158738376</v>
      </c>
    </row>
    <row r="317" spans="2:11">
      <c r="B317" s="4">
        <f>IF(LoanIsGood,IF(ROW()-ROW(PaymentSchedule[[#Headers],[PMT NO]])&gt;ScheduledNumberOfPayments,"",ROW()-ROW(PaymentSchedule[[#Headers],[PMT NO]])),"")</f>
        <v>298</v>
      </c>
      <c r="C317" s="5">
        <f>IF(PaymentSchedule[[#This Row],[PMT NO]]&lt;&gt;"",EOMONTH(LoanStartDate,ROW(PaymentSchedule[[#This Row],[PMT NO]])-ROW(PaymentSchedule[[#Headers],[PMT NO]])-2)+DAY(LoanStartDate),"")</f>
        <v>53114</v>
      </c>
      <c r="D317" s="7">
        <f>IF(PaymentSchedule[[#This Row],[PMT NO]]&lt;&gt;"",IF(ROW()-ROW(PaymentSchedule[[#Headers],[BEGINNING BALANCE]])=1,LoanAmount,INDEX([ENDING BALANCE],ROW()-ROW(PaymentSchedule[[#Headers],[BEGINNING BALANCE]])-1)),"")</f>
        <v>34060.242736792701</v>
      </c>
      <c r="E317" s="7">
        <f>IF(PaymentSchedule[[#This Row],[PMT NO]]&lt;&gt;"",ScheduledPayment,"")</f>
        <v>608.02237179106271</v>
      </c>
      <c r="F31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7" s="7">
        <f>IF(PaymentSchedule[[#This Row],[PMT NO]]&lt;&gt;"",PaymentSchedule[[#This Row],[TOTAL PAYMENT]]-PaymentSchedule[[#This Row],[INTEREST]],"")</f>
        <v>480.29646152809011</v>
      </c>
      <c r="I317" s="7">
        <f>IF(PaymentSchedule[[#This Row],[PMT NO]]&lt;&gt;"",PaymentSchedule[[#This Row],[BEGINNING BALANCE]]*(InterestRate/PaymentsPerYear),"")</f>
        <v>127.72591026297262</v>
      </c>
      <c r="J317" s="7">
        <f>IF(PaymentSchedule[[#This Row],[PMT NO]]&lt;&gt;"",IF(PaymentSchedule[[#This Row],[SCHEDULED PAYMENT]]+PaymentSchedule[[#This Row],[EXTRA PAYMENT]]&lt;=PaymentSchedule[[#This Row],[BEGINNING BALANCE]],PaymentSchedule[[#This Row],[BEGINNING BALANCE]]-PaymentSchedule[[#This Row],[PRINCIPAL]],0),"")</f>
        <v>33579.946275264614</v>
      </c>
      <c r="K317" s="7">
        <f>IF(PaymentSchedule[[#This Row],[PMT NO]]&lt;&gt;"",SUM(INDEX([INTEREST],1,1):PaymentSchedule[[#This Row],[INTEREST]]),"")</f>
        <v>94770.613069001352</v>
      </c>
    </row>
    <row r="318" spans="2:11">
      <c r="B318" s="4">
        <f>IF(LoanIsGood,IF(ROW()-ROW(PaymentSchedule[[#Headers],[PMT NO]])&gt;ScheduledNumberOfPayments,"",ROW()-ROW(PaymentSchedule[[#Headers],[PMT NO]])),"")</f>
        <v>299</v>
      </c>
      <c r="C318" s="5">
        <f>IF(PaymentSchedule[[#This Row],[PMT NO]]&lt;&gt;"",EOMONTH(LoanStartDate,ROW(PaymentSchedule[[#This Row],[PMT NO]])-ROW(PaymentSchedule[[#Headers],[PMT NO]])-2)+DAY(LoanStartDate),"")</f>
        <v>53144</v>
      </c>
      <c r="D318" s="7">
        <f>IF(PaymentSchedule[[#This Row],[PMT NO]]&lt;&gt;"",IF(ROW()-ROW(PaymentSchedule[[#Headers],[BEGINNING BALANCE]])=1,LoanAmount,INDEX([ENDING BALANCE],ROW()-ROW(PaymentSchedule[[#Headers],[BEGINNING BALANCE]])-1)),"")</f>
        <v>33579.946275264614</v>
      </c>
      <c r="E318" s="7">
        <f>IF(PaymentSchedule[[#This Row],[PMT NO]]&lt;&gt;"",ScheduledPayment,"")</f>
        <v>608.02237179106271</v>
      </c>
      <c r="F31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8" s="7">
        <f>IF(PaymentSchedule[[#This Row],[PMT NO]]&lt;&gt;"",PaymentSchedule[[#This Row],[TOTAL PAYMENT]]-PaymentSchedule[[#This Row],[INTEREST]],"")</f>
        <v>482.09757325882043</v>
      </c>
      <c r="I318" s="7">
        <f>IF(PaymentSchedule[[#This Row],[PMT NO]]&lt;&gt;"",PaymentSchedule[[#This Row],[BEGINNING BALANCE]]*(InterestRate/PaymentsPerYear),"")</f>
        <v>125.92479853224229</v>
      </c>
      <c r="J318" s="7">
        <f>IF(PaymentSchedule[[#This Row],[PMT NO]]&lt;&gt;"",IF(PaymentSchedule[[#This Row],[SCHEDULED PAYMENT]]+PaymentSchedule[[#This Row],[EXTRA PAYMENT]]&lt;=PaymentSchedule[[#This Row],[BEGINNING BALANCE]],PaymentSchedule[[#This Row],[BEGINNING BALANCE]]-PaymentSchedule[[#This Row],[PRINCIPAL]],0),"")</f>
        <v>33097.848702005795</v>
      </c>
      <c r="K318" s="7">
        <f>IF(PaymentSchedule[[#This Row],[PMT NO]]&lt;&gt;"",SUM(INDEX([INTEREST],1,1):PaymentSchedule[[#This Row],[INTEREST]]),"")</f>
        <v>94896.537867533596</v>
      </c>
    </row>
    <row r="319" spans="2:11">
      <c r="B319" s="4">
        <f>IF(LoanIsGood,IF(ROW()-ROW(PaymentSchedule[[#Headers],[PMT NO]])&gt;ScheduledNumberOfPayments,"",ROW()-ROW(PaymentSchedule[[#Headers],[PMT NO]])),"")</f>
        <v>300</v>
      </c>
      <c r="C319" s="5">
        <f>IF(PaymentSchedule[[#This Row],[PMT NO]]&lt;&gt;"",EOMONTH(LoanStartDate,ROW(PaymentSchedule[[#This Row],[PMT NO]])-ROW(PaymentSchedule[[#Headers],[PMT NO]])-2)+DAY(LoanStartDate),"")</f>
        <v>53175</v>
      </c>
      <c r="D319" s="7">
        <f>IF(PaymentSchedule[[#This Row],[PMT NO]]&lt;&gt;"",IF(ROW()-ROW(PaymentSchedule[[#Headers],[BEGINNING BALANCE]])=1,LoanAmount,INDEX([ENDING BALANCE],ROW()-ROW(PaymentSchedule[[#Headers],[BEGINNING BALANCE]])-1)),"")</f>
        <v>33097.848702005795</v>
      </c>
      <c r="E319" s="7">
        <f>IF(PaymentSchedule[[#This Row],[PMT NO]]&lt;&gt;"",ScheduledPayment,"")</f>
        <v>608.02237179106271</v>
      </c>
      <c r="F31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1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19" s="7">
        <f>IF(PaymentSchedule[[#This Row],[PMT NO]]&lt;&gt;"",PaymentSchedule[[#This Row],[TOTAL PAYMENT]]-PaymentSchedule[[#This Row],[INTEREST]],"")</f>
        <v>483.90543915854096</v>
      </c>
      <c r="I319" s="7">
        <f>IF(PaymentSchedule[[#This Row],[PMT NO]]&lt;&gt;"",PaymentSchedule[[#This Row],[BEGINNING BALANCE]]*(InterestRate/PaymentsPerYear),"")</f>
        <v>124.11693263252172</v>
      </c>
      <c r="J319" s="7">
        <f>IF(PaymentSchedule[[#This Row],[PMT NO]]&lt;&gt;"",IF(PaymentSchedule[[#This Row],[SCHEDULED PAYMENT]]+PaymentSchedule[[#This Row],[EXTRA PAYMENT]]&lt;=PaymentSchedule[[#This Row],[BEGINNING BALANCE]],PaymentSchedule[[#This Row],[BEGINNING BALANCE]]-PaymentSchedule[[#This Row],[PRINCIPAL]],0),"")</f>
        <v>32613.943262847253</v>
      </c>
      <c r="K319" s="7">
        <f>IF(PaymentSchedule[[#This Row],[PMT NO]]&lt;&gt;"",SUM(INDEX([INTEREST],1,1):PaymentSchedule[[#This Row],[INTEREST]]),"")</f>
        <v>95020.654800166114</v>
      </c>
    </row>
    <row r="320" spans="2:11">
      <c r="B320" s="4">
        <f>IF(LoanIsGood,IF(ROW()-ROW(PaymentSchedule[[#Headers],[PMT NO]])&gt;ScheduledNumberOfPayments,"",ROW()-ROW(PaymentSchedule[[#Headers],[PMT NO]])),"")</f>
        <v>301</v>
      </c>
      <c r="C320" s="5">
        <f>IF(PaymentSchedule[[#This Row],[PMT NO]]&lt;&gt;"",EOMONTH(LoanStartDate,ROW(PaymentSchedule[[#This Row],[PMT NO]])-ROW(PaymentSchedule[[#Headers],[PMT NO]])-2)+DAY(LoanStartDate),"")</f>
        <v>53206</v>
      </c>
      <c r="D320" s="7">
        <f>IF(PaymentSchedule[[#This Row],[PMT NO]]&lt;&gt;"",IF(ROW()-ROW(PaymentSchedule[[#Headers],[BEGINNING BALANCE]])=1,LoanAmount,INDEX([ENDING BALANCE],ROW()-ROW(PaymentSchedule[[#Headers],[BEGINNING BALANCE]])-1)),"")</f>
        <v>32613.943262847253</v>
      </c>
      <c r="E320" s="7">
        <f>IF(PaymentSchedule[[#This Row],[PMT NO]]&lt;&gt;"",ScheduledPayment,"")</f>
        <v>608.02237179106271</v>
      </c>
      <c r="F32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0" s="7">
        <f>IF(PaymentSchedule[[#This Row],[PMT NO]]&lt;&gt;"",PaymentSchedule[[#This Row],[TOTAL PAYMENT]]-PaymentSchedule[[#This Row],[INTEREST]],"")</f>
        <v>485.72008455538548</v>
      </c>
      <c r="I320" s="7">
        <f>IF(PaymentSchedule[[#This Row],[PMT NO]]&lt;&gt;"",PaymentSchedule[[#This Row],[BEGINNING BALANCE]]*(InterestRate/PaymentsPerYear),"")</f>
        <v>122.3022872356772</v>
      </c>
      <c r="J320" s="7">
        <f>IF(PaymentSchedule[[#This Row],[PMT NO]]&lt;&gt;"",IF(PaymentSchedule[[#This Row],[SCHEDULED PAYMENT]]+PaymentSchedule[[#This Row],[EXTRA PAYMENT]]&lt;=PaymentSchedule[[#This Row],[BEGINNING BALANCE]],PaymentSchedule[[#This Row],[BEGINNING BALANCE]]-PaymentSchedule[[#This Row],[PRINCIPAL]],0),"")</f>
        <v>32128.223178291868</v>
      </c>
      <c r="K320" s="7">
        <f>IF(PaymentSchedule[[#This Row],[PMT NO]]&lt;&gt;"",SUM(INDEX([INTEREST],1,1):PaymentSchedule[[#This Row],[INTEREST]]),"")</f>
        <v>95142.957087401795</v>
      </c>
    </row>
    <row r="321" spans="2:11">
      <c r="B321" s="4">
        <f>IF(LoanIsGood,IF(ROW()-ROW(PaymentSchedule[[#Headers],[PMT NO]])&gt;ScheduledNumberOfPayments,"",ROW()-ROW(PaymentSchedule[[#Headers],[PMT NO]])),"")</f>
        <v>302</v>
      </c>
      <c r="C321" s="5">
        <f>IF(PaymentSchedule[[#This Row],[PMT NO]]&lt;&gt;"",EOMONTH(LoanStartDate,ROW(PaymentSchedule[[#This Row],[PMT NO]])-ROW(PaymentSchedule[[#Headers],[PMT NO]])-2)+DAY(LoanStartDate),"")</f>
        <v>53236</v>
      </c>
      <c r="D321" s="7">
        <f>IF(PaymentSchedule[[#This Row],[PMT NO]]&lt;&gt;"",IF(ROW()-ROW(PaymentSchedule[[#Headers],[BEGINNING BALANCE]])=1,LoanAmount,INDEX([ENDING BALANCE],ROW()-ROW(PaymentSchedule[[#Headers],[BEGINNING BALANCE]])-1)),"")</f>
        <v>32128.223178291868</v>
      </c>
      <c r="E321" s="7">
        <f>IF(PaymentSchedule[[#This Row],[PMT NO]]&lt;&gt;"",ScheduledPayment,"")</f>
        <v>608.02237179106271</v>
      </c>
      <c r="F32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1" s="7">
        <f>IF(PaymentSchedule[[#This Row],[PMT NO]]&lt;&gt;"",PaymentSchedule[[#This Row],[TOTAL PAYMENT]]-PaymentSchedule[[#This Row],[INTEREST]],"")</f>
        <v>487.54153487246822</v>
      </c>
      <c r="I321" s="7">
        <f>IF(PaymentSchedule[[#This Row],[PMT NO]]&lt;&gt;"",PaymentSchedule[[#This Row],[BEGINNING BALANCE]]*(InterestRate/PaymentsPerYear),"")</f>
        <v>120.48083691859451</v>
      </c>
      <c r="J321" s="7">
        <f>IF(PaymentSchedule[[#This Row],[PMT NO]]&lt;&gt;"",IF(PaymentSchedule[[#This Row],[SCHEDULED PAYMENT]]+PaymentSchedule[[#This Row],[EXTRA PAYMENT]]&lt;=PaymentSchedule[[#This Row],[BEGINNING BALANCE]],PaymentSchedule[[#This Row],[BEGINNING BALANCE]]-PaymentSchedule[[#This Row],[PRINCIPAL]],0),"")</f>
        <v>31640.681643419401</v>
      </c>
      <c r="K321" s="7">
        <f>IF(PaymentSchedule[[#This Row],[PMT NO]]&lt;&gt;"",SUM(INDEX([INTEREST],1,1):PaymentSchedule[[#This Row],[INTEREST]]),"")</f>
        <v>95263.437924320388</v>
      </c>
    </row>
    <row r="322" spans="2:11">
      <c r="B322" s="4">
        <f>IF(LoanIsGood,IF(ROW()-ROW(PaymentSchedule[[#Headers],[PMT NO]])&gt;ScheduledNumberOfPayments,"",ROW()-ROW(PaymentSchedule[[#Headers],[PMT NO]])),"")</f>
        <v>303</v>
      </c>
      <c r="C322" s="5">
        <f>IF(PaymentSchedule[[#This Row],[PMT NO]]&lt;&gt;"",EOMONTH(LoanStartDate,ROW(PaymentSchedule[[#This Row],[PMT NO]])-ROW(PaymentSchedule[[#Headers],[PMT NO]])-2)+DAY(LoanStartDate),"")</f>
        <v>53267</v>
      </c>
      <c r="D322" s="7">
        <f>IF(PaymentSchedule[[#This Row],[PMT NO]]&lt;&gt;"",IF(ROW()-ROW(PaymentSchedule[[#Headers],[BEGINNING BALANCE]])=1,LoanAmount,INDEX([ENDING BALANCE],ROW()-ROW(PaymentSchedule[[#Headers],[BEGINNING BALANCE]])-1)),"")</f>
        <v>31640.681643419401</v>
      </c>
      <c r="E322" s="7">
        <f>IF(PaymentSchedule[[#This Row],[PMT NO]]&lt;&gt;"",ScheduledPayment,"")</f>
        <v>608.02237179106271</v>
      </c>
      <c r="F32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2" s="7">
        <f>IF(PaymentSchedule[[#This Row],[PMT NO]]&lt;&gt;"",PaymentSchedule[[#This Row],[TOTAL PAYMENT]]-PaymentSchedule[[#This Row],[INTEREST]],"")</f>
        <v>489.36981562823996</v>
      </c>
      <c r="I322" s="7">
        <f>IF(PaymentSchedule[[#This Row],[PMT NO]]&lt;&gt;"",PaymentSchedule[[#This Row],[BEGINNING BALANCE]]*(InterestRate/PaymentsPerYear),"")</f>
        <v>118.65255616282275</v>
      </c>
      <c r="J322" s="7">
        <f>IF(PaymentSchedule[[#This Row],[PMT NO]]&lt;&gt;"",IF(PaymentSchedule[[#This Row],[SCHEDULED PAYMENT]]+PaymentSchedule[[#This Row],[EXTRA PAYMENT]]&lt;=PaymentSchedule[[#This Row],[BEGINNING BALANCE]],PaymentSchedule[[#This Row],[BEGINNING BALANCE]]-PaymentSchedule[[#This Row],[PRINCIPAL]],0),"")</f>
        <v>31151.31182779116</v>
      </c>
      <c r="K322" s="7">
        <f>IF(PaymentSchedule[[#This Row],[PMT NO]]&lt;&gt;"",SUM(INDEX([INTEREST],1,1):PaymentSchedule[[#This Row],[INTEREST]]),"")</f>
        <v>95382.09048048321</v>
      </c>
    </row>
    <row r="323" spans="2:11">
      <c r="B323" s="4">
        <f>IF(LoanIsGood,IF(ROW()-ROW(PaymentSchedule[[#Headers],[PMT NO]])&gt;ScheduledNumberOfPayments,"",ROW()-ROW(PaymentSchedule[[#Headers],[PMT NO]])),"")</f>
        <v>304</v>
      </c>
      <c r="C323" s="5">
        <f>IF(PaymentSchedule[[#This Row],[PMT NO]]&lt;&gt;"",EOMONTH(LoanStartDate,ROW(PaymentSchedule[[#This Row],[PMT NO]])-ROW(PaymentSchedule[[#Headers],[PMT NO]])-2)+DAY(LoanStartDate),"")</f>
        <v>53297</v>
      </c>
      <c r="D323" s="7">
        <f>IF(PaymentSchedule[[#This Row],[PMT NO]]&lt;&gt;"",IF(ROW()-ROW(PaymentSchedule[[#Headers],[BEGINNING BALANCE]])=1,LoanAmount,INDEX([ENDING BALANCE],ROW()-ROW(PaymentSchedule[[#Headers],[BEGINNING BALANCE]])-1)),"")</f>
        <v>31151.31182779116</v>
      </c>
      <c r="E323" s="7">
        <f>IF(PaymentSchedule[[#This Row],[PMT NO]]&lt;&gt;"",ScheduledPayment,"")</f>
        <v>608.02237179106271</v>
      </c>
      <c r="F32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3" s="7">
        <f>IF(PaymentSchedule[[#This Row],[PMT NO]]&lt;&gt;"",PaymentSchedule[[#This Row],[TOTAL PAYMENT]]-PaymentSchedule[[#This Row],[INTEREST]],"")</f>
        <v>491.20495243684587</v>
      </c>
      <c r="I323" s="7">
        <f>IF(PaymentSchedule[[#This Row],[PMT NO]]&lt;&gt;"",PaymentSchedule[[#This Row],[BEGINNING BALANCE]]*(InterestRate/PaymentsPerYear),"")</f>
        <v>116.81741935421684</v>
      </c>
      <c r="J323" s="7">
        <f>IF(PaymentSchedule[[#This Row],[PMT NO]]&lt;&gt;"",IF(PaymentSchedule[[#This Row],[SCHEDULED PAYMENT]]+PaymentSchedule[[#This Row],[EXTRA PAYMENT]]&lt;=PaymentSchedule[[#This Row],[BEGINNING BALANCE]],PaymentSchedule[[#This Row],[BEGINNING BALANCE]]-PaymentSchedule[[#This Row],[PRINCIPAL]],0),"")</f>
        <v>30660.106875354315</v>
      </c>
      <c r="K323" s="7">
        <f>IF(PaymentSchedule[[#This Row],[PMT NO]]&lt;&gt;"",SUM(INDEX([INTEREST],1,1):PaymentSchedule[[#This Row],[INTEREST]]),"")</f>
        <v>95498.907899837432</v>
      </c>
    </row>
    <row r="324" spans="2:11">
      <c r="B324" s="4">
        <f>IF(LoanIsGood,IF(ROW()-ROW(PaymentSchedule[[#Headers],[PMT NO]])&gt;ScheduledNumberOfPayments,"",ROW()-ROW(PaymentSchedule[[#Headers],[PMT NO]])),"")</f>
        <v>305</v>
      </c>
      <c r="C324" s="5">
        <f>IF(PaymentSchedule[[#This Row],[PMT NO]]&lt;&gt;"",EOMONTH(LoanStartDate,ROW(PaymentSchedule[[#This Row],[PMT NO]])-ROW(PaymentSchedule[[#Headers],[PMT NO]])-2)+DAY(LoanStartDate),"")</f>
        <v>53328</v>
      </c>
      <c r="D324" s="7">
        <f>IF(PaymentSchedule[[#This Row],[PMT NO]]&lt;&gt;"",IF(ROW()-ROW(PaymentSchedule[[#Headers],[BEGINNING BALANCE]])=1,LoanAmount,INDEX([ENDING BALANCE],ROW()-ROW(PaymentSchedule[[#Headers],[BEGINNING BALANCE]])-1)),"")</f>
        <v>30660.106875354315</v>
      </c>
      <c r="E324" s="7">
        <f>IF(PaymentSchedule[[#This Row],[PMT NO]]&lt;&gt;"",ScheduledPayment,"")</f>
        <v>608.02237179106271</v>
      </c>
      <c r="F32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4" s="7">
        <f>IF(PaymentSchedule[[#This Row],[PMT NO]]&lt;&gt;"",PaymentSchedule[[#This Row],[TOTAL PAYMENT]]-PaymentSchedule[[#This Row],[INTEREST]],"")</f>
        <v>493.04697100848404</v>
      </c>
      <c r="I324" s="7">
        <f>IF(PaymentSchedule[[#This Row],[PMT NO]]&lt;&gt;"",PaymentSchedule[[#This Row],[BEGINNING BALANCE]]*(InterestRate/PaymentsPerYear),"")</f>
        <v>114.97540078257867</v>
      </c>
      <c r="J324" s="7">
        <f>IF(PaymentSchedule[[#This Row],[PMT NO]]&lt;&gt;"",IF(PaymentSchedule[[#This Row],[SCHEDULED PAYMENT]]+PaymentSchedule[[#This Row],[EXTRA PAYMENT]]&lt;=PaymentSchedule[[#This Row],[BEGINNING BALANCE]],PaymentSchedule[[#This Row],[BEGINNING BALANCE]]-PaymentSchedule[[#This Row],[PRINCIPAL]],0),"")</f>
        <v>30167.059904345831</v>
      </c>
      <c r="K324" s="7">
        <f>IF(PaymentSchedule[[#This Row],[PMT NO]]&lt;&gt;"",SUM(INDEX([INTEREST],1,1):PaymentSchedule[[#This Row],[INTEREST]]),"")</f>
        <v>95613.883300620015</v>
      </c>
    </row>
    <row r="325" spans="2:11">
      <c r="B325" s="4">
        <f>IF(LoanIsGood,IF(ROW()-ROW(PaymentSchedule[[#Headers],[PMT NO]])&gt;ScheduledNumberOfPayments,"",ROW()-ROW(PaymentSchedule[[#Headers],[PMT NO]])),"")</f>
        <v>306</v>
      </c>
      <c r="C325" s="5">
        <f>IF(PaymentSchedule[[#This Row],[PMT NO]]&lt;&gt;"",EOMONTH(LoanStartDate,ROW(PaymentSchedule[[#This Row],[PMT NO]])-ROW(PaymentSchedule[[#Headers],[PMT NO]])-2)+DAY(LoanStartDate),"")</f>
        <v>53359</v>
      </c>
      <c r="D325" s="7">
        <f>IF(PaymentSchedule[[#This Row],[PMT NO]]&lt;&gt;"",IF(ROW()-ROW(PaymentSchedule[[#Headers],[BEGINNING BALANCE]])=1,LoanAmount,INDEX([ENDING BALANCE],ROW()-ROW(PaymentSchedule[[#Headers],[BEGINNING BALANCE]])-1)),"")</f>
        <v>30167.059904345831</v>
      </c>
      <c r="E325" s="7">
        <f>IF(PaymentSchedule[[#This Row],[PMT NO]]&lt;&gt;"",ScheduledPayment,"")</f>
        <v>608.02237179106271</v>
      </c>
      <c r="F32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5" s="7">
        <f>IF(PaymentSchedule[[#This Row],[PMT NO]]&lt;&gt;"",PaymentSchedule[[#This Row],[TOTAL PAYMENT]]-PaymentSchedule[[#This Row],[INTEREST]],"")</f>
        <v>494.89589714976586</v>
      </c>
      <c r="I325" s="7">
        <f>IF(PaymentSchedule[[#This Row],[PMT NO]]&lt;&gt;"",PaymentSchedule[[#This Row],[BEGINNING BALANCE]]*(InterestRate/PaymentsPerYear),"")</f>
        <v>113.12647464129687</v>
      </c>
      <c r="J325" s="7">
        <f>IF(PaymentSchedule[[#This Row],[PMT NO]]&lt;&gt;"",IF(PaymentSchedule[[#This Row],[SCHEDULED PAYMENT]]+PaymentSchedule[[#This Row],[EXTRA PAYMENT]]&lt;=PaymentSchedule[[#This Row],[BEGINNING BALANCE]],PaymentSchedule[[#This Row],[BEGINNING BALANCE]]-PaymentSchedule[[#This Row],[PRINCIPAL]],0),"")</f>
        <v>29672.164007196065</v>
      </c>
      <c r="K325" s="7">
        <f>IF(PaymentSchedule[[#This Row],[PMT NO]]&lt;&gt;"",SUM(INDEX([INTEREST],1,1):PaymentSchedule[[#This Row],[INTEREST]]),"")</f>
        <v>95727.009775261307</v>
      </c>
    </row>
    <row r="326" spans="2:11">
      <c r="B326" s="4">
        <f>IF(LoanIsGood,IF(ROW()-ROW(PaymentSchedule[[#Headers],[PMT NO]])&gt;ScheduledNumberOfPayments,"",ROW()-ROW(PaymentSchedule[[#Headers],[PMT NO]])),"")</f>
        <v>307</v>
      </c>
      <c r="C326" s="5">
        <f>IF(PaymentSchedule[[#This Row],[PMT NO]]&lt;&gt;"",EOMONTH(LoanStartDate,ROW(PaymentSchedule[[#This Row],[PMT NO]])-ROW(PaymentSchedule[[#Headers],[PMT NO]])-2)+DAY(LoanStartDate),"")</f>
        <v>53387</v>
      </c>
      <c r="D326" s="7">
        <f>IF(PaymentSchedule[[#This Row],[PMT NO]]&lt;&gt;"",IF(ROW()-ROW(PaymentSchedule[[#Headers],[BEGINNING BALANCE]])=1,LoanAmount,INDEX([ENDING BALANCE],ROW()-ROW(PaymentSchedule[[#Headers],[BEGINNING BALANCE]])-1)),"")</f>
        <v>29672.164007196065</v>
      </c>
      <c r="E326" s="7">
        <f>IF(PaymentSchedule[[#This Row],[PMT NO]]&lt;&gt;"",ScheduledPayment,"")</f>
        <v>608.02237179106271</v>
      </c>
      <c r="F32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6" s="7">
        <f>IF(PaymentSchedule[[#This Row],[PMT NO]]&lt;&gt;"",PaymentSchedule[[#This Row],[TOTAL PAYMENT]]-PaymentSchedule[[#This Row],[INTEREST]],"")</f>
        <v>496.75175676407747</v>
      </c>
      <c r="I326" s="7">
        <f>IF(PaymentSchedule[[#This Row],[PMT NO]]&lt;&gt;"",PaymentSchedule[[#This Row],[BEGINNING BALANCE]]*(InterestRate/PaymentsPerYear),"")</f>
        <v>111.27061502698524</v>
      </c>
      <c r="J326" s="7">
        <f>IF(PaymentSchedule[[#This Row],[PMT NO]]&lt;&gt;"",IF(PaymentSchedule[[#This Row],[SCHEDULED PAYMENT]]+PaymentSchedule[[#This Row],[EXTRA PAYMENT]]&lt;=PaymentSchedule[[#This Row],[BEGINNING BALANCE]],PaymentSchedule[[#This Row],[BEGINNING BALANCE]]-PaymentSchedule[[#This Row],[PRINCIPAL]],0),"")</f>
        <v>29175.412250431986</v>
      </c>
      <c r="K326" s="7">
        <f>IF(PaymentSchedule[[#This Row],[PMT NO]]&lt;&gt;"",SUM(INDEX([INTEREST],1,1):PaymentSchedule[[#This Row],[INTEREST]]),"")</f>
        <v>95838.280390288288</v>
      </c>
    </row>
    <row r="327" spans="2:11">
      <c r="B327" s="4">
        <f>IF(LoanIsGood,IF(ROW()-ROW(PaymentSchedule[[#Headers],[PMT NO]])&gt;ScheduledNumberOfPayments,"",ROW()-ROW(PaymentSchedule[[#Headers],[PMT NO]])),"")</f>
        <v>308</v>
      </c>
      <c r="C327" s="5">
        <f>IF(PaymentSchedule[[#This Row],[PMT NO]]&lt;&gt;"",EOMONTH(LoanStartDate,ROW(PaymentSchedule[[#This Row],[PMT NO]])-ROW(PaymentSchedule[[#Headers],[PMT NO]])-2)+DAY(LoanStartDate),"")</f>
        <v>53418</v>
      </c>
      <c r="D327" s="7">
        <f>IF(PaymentSchedule[[#This Row],[PMT NO]]&lt;&gt;"",IF(ROW()-ROW(PaymentSchedule[[#Headers],[BEGINNING BALANCE]])=1,LoanAmount,INDEX([ENDING BALANCE],ROW()-ROW(PaymentSchedule[[#Headers],[BEGINNING BALANCE]])-1)),"")</f>
        <v>29175.412250431986</v>
      </c>
      <c r="E327" s="7">
        <f>IF(PaymentSchedule[[#This Row],[PMT NO]]&lt;&gt;"",ScheduledPayment,"")</f>
        <v>608.02237179106271</v>
      </c>
      <c r="F32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7" s="7">
        <f>IF(PaymentSchedule[[#This Row],[PMT NO]]&lt;&gt;"",PaymentSchedule[[#This Row],[TOTAL PAYMENT]]-PaymentSchedule[[#This Row],[INTEREST]],"")</f>
        <v>498.61457585194279</v>
      </c>
      <c r="I327" s="7">
        <f>IF(PaymentSchedule[[#This Row],[PMT NO]]&lt;&gt;"",PaymentSchedule[[#This Row],[BEGINNING BALANCE]]*(InterestRate/PaymentsPerYear),"")</f>
        <v>109.40779593911994</v>
      </c>
      <c r="J327" s="7">
        <f>IF(PaymentSchedule[[#This Row],[PMT NO]]&lt;&gt;"",IF(PaymentSchedule[[#This Row],[SCHEDULED PAYMENT]]+PaymentSchedule[[#This Row],[EXTRA PAYMENT]]&lt;=PaymentSchedule[[#This Row],[BEGINNING BALANCE]],PaymentSchedule[[#This Row],[BEGINNING BALANCE]]-PaymentSchedule[[#This Row],[PRINCIPAL]],0),"")</f>
        <v>28676.797674580044</v>
      </c>
      <c r="K327" s="7">
        <f>IF(PaymentSchedule[[#This Row],[PMT NO]]&lt;&gt;"",SUM(INDEX([INTEREST],1,1):PaymentSchedule[[#This Row],[INTEREST]]),"")</f>
        <v>95947.688186227402</v>
      </c>
    </row>
    <row r="328" spans="2:11">
      <c r="B328" s="4">
        <f>IF(LoanIsGood,IF(ROW()-ROW(PaymentSchedule[[#Headers],[PMT NO]])&gt;ScheduledNumberOfPayments,"",ROW()-ROW(PaymentSchedule[[#Headers],[PMT NO]])),"")</f>
        <v>309</v>
      </c>
      <c r="C328" s="5">
        <f>IF(PaymentSchedule[[#This Row],[PMT NO]]&lt;&gt;"",EOMONTH(LoanStartDate,ROW(PaymentSchedule[[#This Row],[PMT NO]])-ROW(PaymentSchedule[[#Headers],[PMT NO]])-2)+DAY(LoanStartDate),"")</f>
        <v>53448</v>
      </c>
      <c r="D328" s="7">
        <f>IF(PaymentSchedule[[#This Row],[PMT NO]]&lt;&gt;"",IF(ROW()-ROW(PaymentSchedule[[#Headers],[BEGINNING BALANCE]])=1,LoanAmount,INDEX([ENDING BALANCE],ROW()-ROW(PaymentSchedule[[#Headers],[BEGINNING BALANCE]])-1)),"")</f>
        <v>28676.797674580044</v>
      </c>
      <c r="E328" s="7">
        <f>IF(PaymentSchedule[[#This Row],[PMT NO]]&lt;&gt;"",ScheduledPayment,"")</f>
        <v>608.02237179106271</v>
      </c>
      <c r="F32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8" s="7">
        <f>IF(PaymentSchedule[[#This Row],[PMT NO]]&lt;&gt;"",PaymentSchedule[[#This Row],[TOTAL PAYMENT]]-PaymentSchedule[[#This Row],[INTEREST]],"")</f>
        <v>500.48438051138754</v>
      </c>
      <c r="I328" s="7">
        <f>IF(PaymentSchedule[[#This Row],[PMT NO]]&lt;&gt;"",PaymentSchedule[[#This Row],[BEGINNING BALANCE]]*(InterestRate/PaymentsPerYear),"")</f>
        <v>107.53799127967517</v>
      </c>
      <c r="J328" s="7">
        <f>IF(PaymentSchedule[[#This Row],[PMT NO]]&lt;&gt;"",IF(PaymentSchedule[[#This Row],[SCHEDULED PAYMENT]]+PaymentSchedule[[#This Row],[EXTRA PAYMENT]]&lt;=PaymentSchedule[[#This Row],[BEGINNING BALANCE]],PaymentSchedule[[#This Row],[BEGINNING BALANCE]]-PaymentSchedule[[#This Row],[PRINCIPAL]],0),"")</f>
        <v>28176.313294068656</v>
      </c>
      <c r="K328" s="7">
        <f>IF(PaymentSchedule[[#This Row],[PMT NO]]&lt;&gt;"",SUM(INDEX([INTEREST],1,1):PaymentSchedule[[#This Row],[INTEREST]]),"")</f>
        <v>96055.22617750708</v>
      </c>
    </row>
    <row r="329" spans="2:11">
      <c r="B329" s="4">
        <f>IF(LoanIsGood,IF(ROW()-ROW(PaymentSchedule[[#Headers],[PMT NO]])&gt;ScheduledNumberOfPayments,"",ROW()-ROW(PaymentSchedule[[#Headers],[PMT NO]])),"")</f>
        <v>310</v>
      </c>
      <c r="C329" s="5">
        <f>IF(PaymentSchedule[[#This Row],[PMT NO]]&lt;&gt;"",EOMONTH(LoanStartDate,ROW(PaymentSchedule[[#This Row],[PMT NO]])-ROW(PaymentSchedule[[#Headers],[PMT NO]])-2)+DAY(LoanStartDate),"")</f>
        <v>53479</v>
      </c>
      <c r="D329" s="7">
        <f>IF(PaymentSchedule[[#This Row],[PMT NO]]&lt;&gt;"",IF(ROW()-ROW(PaymentSchedule[[#Headers],[BEGINNING BALANCE]])=1,LoanAmount,INDEX([ENDING BALANCE],ROW()-ROW(PaymentSchedule[[#Headers],[BEGINNING BALANCE]])-1)),"")</f>
        <v>28176.313294068656</v>
      </c>
      <c r="E329" s="7">
        <f>IF(PaymentSchedule[[#This Row],[PMT NO]]&lt;&gt;"",ScheduledPayment,"")</f>
        <v>608.02237179106271</v>
      </c>
      <c r="F32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2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29" s="7">
        <f>IF(PaymentSchedule[[#This Row],[PMT NO]]&lt;&gt;"",PaymentSchedule[[#This Row],[TOTAL PAYMENT]]-PaymentSchedule[[#This Row],[INTEREST]],"")</f>
        <v>502.36119693830528</v>
      </c>
      <c r="I329" s="7">
        <f>IF(PaymentSchedule[[#This Row],[PMT NO]]&lt;&gt;"",PaymentSchedule[[#This Row],[BEGINNING BALANCE]]*(InterestRate/PaymentsPerYear),"")</f>
        <v>105.66117485275745</v>
      </c>
      <c r="J329" s="7">
        <f>IF(PaymentSchedule[[#This Row],[PMT NO]]&lt;&gt;"",IF(PaymentSchedule[[#This Row],[SCHEDULED PAYMENT]]+PaymentSchedule[[#This Row],[EXTRA PAYMENT]]&lt;=PaymentSchedule[[#This Row],[BEGINNING BALANCE]],PaymentSchedule[[#This Row],[BEGINNING BALANCE]]-PaymentSchedule[[#This Row],[PRINCIPAL]],0),"")</f>
        <v>27673.95209713035</v>
      </c>
      <c r="K329" s="7">
        <f>IF(PaymentSchedule[[#This Row],[PMT NO]]&lt;&gt;"",SUM(INDEX([INTEREST],1,1):PaymentSchedule[[#This Row],[INTEREST]]),"")</f>
        <v>96160.88735235983</v>
      </c>
    </row>
    <row r="330" spans="2:11">
      <c r="B330" s="4">
        <f>IF(LoanIsGood,IF(ROW()-ROW(PaymentSchedule[[#Headers],[PMT NO]])&gt;ScheduledNumberOfPayments,"",ROW()-ROW(PaymentSchedule[[#Headers],[PMT NO]])),"")</f>
        <v>311</v>
      </c>
      <c r="C330" s="5">
        <f>IF(PaymentSchedule[[#This Row],[PMT NO]]&lt;&gt;"",EOMONTH(LoanStartDate,ROW(PaymentSchedule[[#This Row],[PMT NO]])-ROW(PaymentSchedule[[#Headers],[PMT NO]])-2)+DAY(LoanStartDate),"")</f>
        <v>53509</v>
      </c>
      <c r="D330" s="7">
        <f>IF(PaymentSchedule[[#This Row],[PMT NO]]&lt;&gt;"",IF(ROW()-ROW(PaymentSchedule[[#Headers],[BEGINNING BALANCE]])=1,LoanAmount,INDEX([ENDING BALANCE],ROW()-ROW(PaymentSchedule[[#Headers],[BEGINNING BALANCE]])-1)),"")</f>
        <v>27673.95209713035</v>
      </c>
      <c r="E330" s="7">
        <f>IF(PaymentSchedule[[#This Row],[PMT NO]]&lt;&gt;"",ScheduledPayment,"")</f>
        <v>608.02237179106271</v>
      </c>
      <c r="F33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0" s="7">
        <f>IF(PaymentSchedule[[#This Row],[PMT NO]]&lt;&gt;"",PaymentSchedule[[#This Row],[TOTAL PAYMENT]]-PaymentSchedule[[#This Row],[INTEREST]],"")</f>
        <v>504.24505142682392</v>
      </c>
      <c r="I330" s="7">
        <f>IF(PaymentSchedule[[#This Row],[PMT NO]]&lt;&gt;"",PaymentSchedule[[#This Row],[BEGINNING BALANCE]]*(InterestRate/PaymentsPerYear),"")</f>
        <v>103.7773203642388</v>
      </c>
      <c r="J330" s="7">
        <f>IF(PaymentSchedule[[#This Row],[PMT NO]]&lt;&gt;"",IF(PaymentSchedule[[#This Row],[SCHEDULED PAYMENT]]+PaymentSchedule[[#This Row],[EXTRA PAYMENT]]&lt;=PaymentSchedule[[#This Row],[BEGINNING BALANCE]],PaymentSchedule[[#This Row],[BEGINNING BALANCE]]-PaymentSchedule[[#This Row],[PRINCIPAL]],0),"")</f>
        <v>27169.707045703526</v>
      </c>
      <c r="K330" s="7">
        <f>IF(PaymentSchedule[[#This Row],[PMT NO]]&lt;&gt;"",SUM(INDEX([INTEREST],1,1):PaymentSchedule[[#This Row],[INTEREST]]),"")</f>
        <v>96264.664672724073</v>
      </c>
    </row>
    <row r="331" spans="2:11">
      <c r="B331" s="4">
        <f>IF(LoanIsGood,IF(ROW()-ROW(PaymentSchedule[[#Headers],[PMT NO]])&gt;ScheduledNumberOfPayments,"",ROW()-ROW(PaymentSchedule[[#Headers],[PMT NO]])),"")</f>
        <v>312</v>
      </c>
      <c r="C331" s="5">
        <f>IF(PaymentSchedule[[#This Row],[PMT NO]]&lt;&gt;"",EOMONTH(LoanStartDate,ROW(PaymentSchedule[[#This Row],[PMT NO]])-ROW(PaymentSchedule[[#Headers],[PMT NO]])-2)+DAY(LoanStartDate),"")</f>
        <v>53540</v>
      </c>
      <c r="D331" s="7">
        <f>IF(PaymentSchedule[[#This Row],[PMT NO]]&lt;&gt;"",IF(ROW()-ROW(PaymentSchedule[[#Headers],[BEGINNING BALANCE]])=1,LoanAmount,INDEX([ENDING BALANCE],ROW()-ROW(PaymentSchedule[[#Headers],[BEGINNING BALANCE]])-1)),"")</f>
        <v>27169.707045703526</v>
      </c>
      <c r="E331" s="7">
        <f>IF(PaymentSchedule[[#This Row],[PMT NO]]&lt;&gt;"",ScheduledPayment,"")</f>
        <v>608.02237179106271</v>
      </c>
      <c r="F33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1" s="7">
        <f>IF(PaymentSchedule[[#This Row],[PMT NO]]&lt;&gt;"",PaymentSchedule[[#This Row],[TOTAL PAYMENT]]-PaymentSchedule[[#This Row],[INTEREST]],"")</f>
        <v>506.13597036967451</v>
      </c>
      <c r="I331" s="7">
        <f>IF(PaymentSchedule[[#This Row],[PMT NO]]&lt;&gt;"",PaymentSchedule[[#This Row],[BEGINNING BALANCE]]*(InterestRate/PaymentsPerYear),"")</f>
        <v>101.88640142138821</v>
      </c>
      <c r="J331" s="7">
        <f>IF(PaymentSchedule[[#This Row],[PMT NO]]&lt;&gt;"",IF(PaymentSchedule[[#This Row],[SCHEDULED PAYMENT]]+PaymentSchedule[[#This Row],[EXTRA PAYMENT]]&lt;=PaymentSchedule[[#This Row],[BEGINNING BALANCE]],PaymentSchedule[[#This Row],[BEGINNING BALANCE]]-PaymentSchedule[[#This Row],[PRINCIPAL]],0),"")</f>
        <v>26663.57107533385</v>
      </c>
      <c r="K331" s="7">
        <f>IF(PaymentSchedule[[#This Row],[PMT NO]]&lt;&gt;"",SUM(INDEX([INTEREST],1,1):PaymentSchedule[[#This Row],[INTEREST]]),"")</f>
        <v>96366.551074145464</v>
      </c>
    </row>
    <row r="332" spans="2:11">
      <c r="B332" s="4">
        <f>IF(LoanIsGood,IF(ROW()-ROW(PaymentSchedule[[#Headers],[PMT NO]])&gt;ScheduledNumberOfPayments,"",ROW()-ROW(PaymentSchedule[[#Headers],[PMT NO]])),"")</f>
        <v>313</v>
      </c>
      <c r="C332" s="5">
        <f>IF(PaymentSchedule[[#This Row],[PMT NO]]&lt;&gt;"",EOMONTH(LoanStartDate,ROW(PaymentSchedule[[#This Row],[PMT NO]])-ROW(PaymentSchedule[[#Headers],[PMT NO]])-2)+DAY(LoanStartDate),"")</f>
        <v>53571</v>
      </c>
      <c r="D332" s="7">
        <f>IF(PaymentSchedule[[#This Row],[PMT NO]]&lt;&gt;"",IF(ROW()-ROW(PaymentSchedule[[#Headers],[BEGINNING BALANCE]])=1,LoanAmount,INDEX([ENDING BALANCE],ROW()-ROW(PaymentSchedule[[#Headers],[BEGINNING BALANCE]])-1)),"")</f>
        <v>26663.57107533385</v>
      </c>
      <c r="E332" s="7">
        <f>IF(PaymentSchedule[[#This Row],[PMT NO]]&lt;&gt;"",ScheduledPayment,"")</f>
        <v>608.02237179106271</v>
      </c>
      <c r="F33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2" s="7">
        <f>IF(PaymentSchedule[[#This Row],[PMT NO]]&lt;&gt;"",PaymentSchedule[[#This Row],[TOTAL PAYMENT]]-PaymentSchedule[[#This Row],[INTEREST]],"")</f>
        <v>508.03398025856075</v>
      </c>
      <c r="I332" s="7">
        <f>IF(PaymentSchedule[[#This Row],[PMT NO]]&lt;&gt;"",PaymentSchedule[[#This Row],[BEGINNING BALANCE]]*(InterestRate/PaymentsPerYear),"")</f>
        <v>99.988391532501936</v>
      </c>
      <c r="J332" s="7">
        <f>IF(PaymentSchedule[[#This Row],[PMT NO]]&lt;&gt;"",IF(PaymentSchedule[[#This Row],[SCHEDULED PAYMENT]]+PaymentSchedule[[#This Row],[EXTRA PAYMENT]]&lt;=PaymentSchedule[[#This Row],[BEGINNING BALANCE]],PaymentSchedule[[#This Row],[BEGINNING BALANCE]]-PaymentSchedule[[#This Row],[PRINCIPAL]],0),"")</f>
        <v>26155.537095075288</v>
      </c>
      <c r="K332" s="7">
        <f>IF(PaymentSchedule[[#This Row],[PMT NO]]&lt;&gt;"",SUM(INDEX([INTEREST],1,1):PaymentSchedule[[#This Row],[INTEREST]]),"")</f>
        <v>96466.539465677968</v>
      </c>
    </row>
    <row r="333" spans="2:11">
      <c r="B333" s="4">
        <f>IF(LoanIsGood,IF(ROW()-ROW(PaymentSchedule[[#Headers],[PMT NO]])&gt;ScheduledNumberOfPayments,"",ROW()-ROW(PaymentSchedule[[#Headers],[PMT NO]])),"")</f>
        <v>314</v>
      </c>
      <c r="C333" s="5">
        <f>IF(PaymentSchedule[[#This Row],[PMT NO]]&lt;&gt;"",EOMONTH(LoanStartDate,ROW(PaymentSchedule[[#This Row],[PMT NO]])-ROW(PaymentSchedule[[#Headers],[PMT NO]])-2)+DAY(LoanStartDate),"")</f>
        <v>53601</v>
      </c>
      <c r="D333" s="7">
        <f>IF(PaymentSchedule[[#This Row],[PMT NO]]&lt;&gt;"",IF(ROW()-ROW(PaymentSchedule[[#Headers],[BEGINNING BALANCE]])=1,LoanAmount,INDEX([ENDING BALANCE],ROW()-ROW(PaymentSchedule[[#Headers],[BEGINNING BALANCE]])-1)),"")</f>
        <v>26155.537095075288</v>
      </c>
      <c r="E333" s="7">
        <f>IF(PaymentSchedule[[#This Row],[PMT NO]]&lt;&gt;"",ScheduledPayment,"")</f>
        <v>608.02237179106271</v>
      </c>
      <c r="F33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3" s="7">
        <f>IF(PaymentSchedule[[#This Row],[PMT NO]]&lt;&gt;"",PaymentSchedule[[#This Row],[TOTAL PAYMENT]]-PaymentSchedule[[#This Row],[INTEREST]],"")</f>
        <v>509.93910768453037</v>
      </c>
      <c r="I333" s="7">
        <f>IF(PaymentSchedule[[#This Row],[PMT NO]]&lt;&gt;"",PaymentSchedule[[#This Row],[BEGINNING BALANCE]]*(InterestRate/PaymentsPerYear),"")</f>
        <v>98.083264106532326</v>
      </c>
      <c r="J333" s="7">
        <f>IF(PaymentSchedule[[#This Row],[PMT NO]]&lt;&gt;"",IF(PaymentSchedule[[#This Row],[SCHEDULED PAYMENT]]+PaymentSchedule[[#This Row],[EXTRA PAYMENT]]&lt;=PaymentSchedule[[#This Row],[BEGINNING BALANCE]],PaymentSchedule[[#This Row],[BEGINNING BALANCE]]-PaymentSchedule[[#This Row],[PRINCIPAL]],0),"")</f>
        <v>25645.597987390756</v>
      </c>
      <c r="K333" s="7">
        <f>IF(PaymentSchedule[[#This Row],[PMT NO]]&lt;&gt;"",SUM(INDEX([INTEREST],1,1):PaymentSchedule[[#This Row],[INTEREST]]),"")</f>
        <v>96564.622729784503</v>
      </c>
    </row>
    <row r="334" spans="2:11">
      <c r="B334" s="4">
        <f>IF(LoanIsGood,IF(ROW()-ROW(PaymentSchedule[[#Headers],[PMT NO]])&gt;ScheduledNumberOfPayments,"",ROW()-ROW(PaymentSchedule[[#Headers],[PMT NO]])),"")</f>
        <v>315</v>
      </c>
      <c r="C334" s="5">
        <f>IF(PaymentSchedule[[#This Row],[PMT NO]]&lt;&gt;"",EOMONTH(LoanStartDate,ROW(PaymentSchedule[[#This Row],[PMT NO]])-ROW(PaymentSchedule[[#Headers],[PMT NO]])-2)+DAY(LoanStartDate),"")</f>
        <v>53632</v>
      </c>
      <c r="D334" s="7">
        <f>IF(PaymentSchedule[[#This Row],[PMT NO]]&lt;&gt;"",IF(ROW()-ROW(PaymentSchedule[[#Headers],[BEGINNING BALANCE]])=1,LoanAmount,INDEX([ENDING BALANCE],ROW()-ROW(PaymentSchedule[[#Headers],[BEGINNING BALANCE]])-1)),"")</f>
        <v>25645.597987390756</v>
      </c>
      <c r="E334" s="7">
        <f>IF(PaymentSchedule[[#This Row],[PMT NO]]&lt;&gt;"",ScheduledPayment,"")</f>
        <v>608.02237179106271</v>
      </c>
      <c r="F33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4" s="7">
        <f>IF(PaymentSchedule[[#This Row],[PMT NO]]&lt;&gt;"",PaymentSchedule[[#This Row],[TOTAL PAYMENT]]-PaymentSchedule[[#This Row],[INTEREST]],"")</f>
        <v>511.85137933834739</v>
      </c>
      <c r="I334" s="7">
        <f>IF(PaymentSchedule[[#This Row],[PMT NO]]&lt;&gt;"",PaymentSchedule[[#This Row],[BEGINNING BALANCE]]*(InterestRate/PaymentsPerYear),"")</f>
        <v>96.170992452715339</v>
      </c>
      <c r="J334" s="7">
        <f>IF(PaymentSchedule[[#This Row],[PMT NO]]&lt;&gt;"",IF(PaymentSchedule[[#This Row],[SCHEDULED PAYMENT]]+PaymentSchedule[[#This Row],[EXTRA PAYMENT]]&lt;=PaymentSchedule[[#This Row],[BEGINNING BALANCE]],PaymentSchedule[[#This Row],[BEGINNING BALANCE]]-PaymentSchedule[[#This Row],[PRINCIPAL]],0),"")</f>
        <v>25133.74660805241</v>
      </c>
      <c r="K334" s="7">
        <f>IF(PaymentSchedule[[#This Row],[PMT NO]]&lt;&gt;"",SUM(INDEX([INTEREST],1,1):PaymentSchedule[[#This Row],[INTEREST]]),"")</f>
        <v>96660.793722237213</v>
      </c>
    </row>
    <row r="335" spans="2:11">
      <c r="B335" s="4">
        <f>IF(LoanIsGood,IF(ROW()-ROW(PaymentSchedule[[#Headers],[PMT NO]])&gt;ScheduledNumberOfPayments,"",ROW()-ROW(PaymentSchedule[[#Headers],[PMT NO]])),"")</f>
        <v>316</v>
      </c>
      <c r="C335" s="5">
        <f>IF(PaymentSchedule[[#This Row],[PMT NO]]&lt;&gt;"",EOMONTH(LoanStartDate,ROW(PaymentSchedule[[#This Row],[PMT NO]])-ROW(PaymentSchedule[[#Headers],[PMT NO]])-2)+DAY(LoanStartDate),"")</f>
        <v>53662</v>
      </c>
      <c r="D335" s="7">
        <f>IF(PaymentSchedule[[#This Row],[PMT NO]]&lt;&gt;"",IF(ROW()-ROW(PaymentSchedule[[#Headers],[BEGINNING BALANCE]])=1,LoanAmount,INDEX([ENDING BALANCE],ROW()-ROW(PaymentSchedule[[#Headers],[BEGINNING BALANCE]])-1)),"")</f>
        <v>25133.74660805241</v>
      </c>
      <c r="E335" s="7">
        <f>IF(PaymentSchedule[[#This Row],[PMT NO]]&lt;&gt;"",ScheduledPayment,"")</f>
        <v>608.02237179106271</v>
      </c>
      <c r="F33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5" s="7">
        <f>IF(PaymentSchedule[[#This Row],[PMT NO]]&lt;&gt;"",PaymentSchedule[[#This Row],[TOTAL PAYMENT]]-PaymentSchedule[[#This Row],[INTEREST]],"")</f>
        <v>513.77082201086614</v>
      </c>
      <c r="I335" s="7">
        <f>IF(PaymentSchedule[[#This Row],[PMT NO]]&lt;&gt;"",PaymentSchedule[[#This Row],[BEGINNING BALANCE]]*(InterestRate/PaymentsPerYear),"")</f>
        <v>94.251549780196541</v>
      </c>
      <c r="J335" s="7">
        <f>IF(PaymentSchedule[[#This Row],[PMT NO]]&lt;&gt;"",IF(PaymentSchedule[[#This Row],[SCHEDULED PAYMENT]]+PaymentSchedule[[#This Row],[EXTRA PAYMENT]]&lt;=PaymentSchedule[[#This Row],[BEGINNING BALANCE]],PaymentSchedule[[#This Row],[BEGINNING BALANCE]]-PaymentSchedule[[#This Row],[PRINCIPAL]],0),"")</f>
        <v>24619.975786041545</v>
      </c>
      <c r="K335" s="7">
        <f>IF(PaymentSchedule[[#This Row],[PMT NO]]&lt;&gt;"",SUM(INDEX([INTEREST],1,1):PaymentSchedule[[#This Row],[INTEREST]]),"")</f>
        <v>96755.045272017407</v>
      </c>
    </row>
    <row r="336" spans="2:11">
      <c r="B336" s="4">
        <f>IF(LoanIsGood,IF(ROW()-ROW(PaymentSchedule[[#Headers],[PMT NO]])&gt;ScheduledNumberOfPayments,"",ROW()-ROW(PaymentSchedule[[#Headers],[PMT NO]])),"")</f>
        <v>317</v>
      </c>
      <c r="C336" s="5">
        <f>IF(PaymentSchedule[[#This Row],[PMT NO]]&lt;&gt;"",EOMONTH(LoanStartDate,ROW(PaymentSchedule[[#This Row],[PMT NO]])-ROW(PaymentSchedule[[#Headers],[PMT NO]])-2)+DAY(LoanStartDate),"")</f>
        <v>53693</v>
      </c>
      <c r="D336" s="7">
        <f>IF(PaymentSchedule[[#This Row],[PMT NO]]&lt;&gt;"",IF(ROW()-ROW(PaymentSchedule[[#Headers],[BEGINNING BALANCE]])=1,LoanAmount,INDEX([ENDING BALANCE],ROW()-ROW(PaymentSchedule[[#Headers],[BEGINNING BALANCE]])-1)),"")</f>
        <v>24619.975786041545</v>
      </c>
      <c r="E336" s="7">
        <f>IF(PaymentSchedule[[#This Row],[PMT NO]]&lt;&gt;"",ScheduledPayment,"")</f>
        <v>608.02237179106271</v>
      </c>
      <c r="F33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6" s="7">
        <f>IF(PaymentSchedule[[#This Row],[PMT NO]]&lt;&gt;"",PaymentSchedule[[#This Row],[TOTAL PAYMENT]]-PaymentSchedule[[#This Row],[INTEREST]],"")</f>
        <v>515.69746259340695</v>
      </c>
      <c r="I336" s="7">
        <f>IF(PaymentSchedule[[#This Row],[PMT NO]]&lt;&gt;"",PaymentSchedule[[#This Row],[BEGINNING BALANCE]]*(InterestRate/PaymentsPerYear),"")</f>
        <v>92.324909197655785</v>
      </c>
      <c r="J336" s="7">
        <f>IF(PaymentSchedule[[#This Row],[PMT NO]]&lt;&gt;"",IF(PaymentSchedule[[#This Row],[SCHEDULED PAYMENT]]+PaymentSchedule[[#This Row],[EXTRA PAYMENT]]&lt;=PaymentSchedule[[#This Row],[BEGINNING BALANCE]],PaymentSchedule[[#This Row],[BEGINNING BALANCE]]-PaymentSchedule[[#This Row],[PRINCIPAL]],0),"")</f>
        <v>24104.278323448139</v>
      </c>
      <c r="K336" s="7">
        <f>IF(PaymentSchedule[[#This Row],[PMT NO]]&lt;&gt;"",SUM(INDEX([INTEREST],1,1):PaymentSchedule[[#This Row],[INTEREST]]),"")</f>
        <v>96847.370181215068</v>
      </c>
    </row>
    <row r="337" spans="2:11">
      <c r="B337" s="4">
        <f>IF(LoanIsGood,IF(ROW()-ROW(PaymentSchedule[[#Headers],[PMT NO]])&gt;ScheduledNumberOfPayments,"",ROW()-ROW(PaymentSchedule[[#Headers],[PMT NO]])),"")</f>
        <v>318</v>
      </c>
      <c r="C337" s="5">
        <f>IF(PaymentSchedule[[#This Row],[PMT NO]]&lt;&gt;"",EOMONTH(LoanStartDate,ROW(PaymentSchedule[[#This Row],[PMT NO]])-ROW(PaymentSchedule[[#Headers],[PMT NO]])-2)+DAY(LoanStartDate),"")</f>
        <v>53724</v>
      </c>
      <c r="D337" s="7">
        <f>IF(PaymentSchedule[[#This Row],[PMT NO]]&lt;&gt;"",IF(ROW()-ROW(PaymentSchedule[[#Headers],[BEGINNING BALANCE]])=1,LoanAmount,INDEX([ENDING BALANCE],ROW()-ROW(PaymentSchedule[[#Headers],[BEGINNING BALANCE]])-1)),"")</f>
        <v>24104.278323448139</v>
      </c>
      <c r="E337" s="7">
        <f>IF(PaymentSchedule[[#This Row],[PMT NO]]&lt;&gt;"",ScheduledPayment,"")</f>
        <v>608.02237179106271</v>
      </c>
      <c r="F33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7" s="7">
        <f>IF(PaymentSchedule[[#This Row],[PMT NO]]&lt;&gt;"",PaymentSchedule[[#This Row],[TOTAL PAYMENT]]-PaymentSchedule[[#This Row],[INTEREST]],"")</f>
        <v>517.63132807813213</v>
      </c>
      <c r="I337" s="7">
        <f>IF(PaymentSchedule[[#This Row],[PMT NO]]&lt;&gt;"",PaymentSchedule[[#This Row],[BEGINNING BALANCE]]*(InterestRate/PaymentsPerYear),"")</f>
        <v>90.391043712930525</v>
      </c>
      <c r="J337" s="7">
        <f>IF(PaymentSchedule[[#This Row],[PMT NO]]&lt;&gt;"",IF(PaymentSchedule[[#This Row],[SCHEDULED PAYMENT]]+PaymentSchedule[[#This Row],[EXTRA PAYMENT]]&lt;=PaymentSchedule[[#This Row],[BEGINNING BALANCE]],PaymentSchedule[[#This Row],[BEGINNING BALANCE]]-PaymentSchedule[[#This Row],[PRINCIPAL]],0),"")</f>
        <v>23586.646995370007</v>
      </c>
      <c r="K337" s="7">
        <f>IF(PaymentSchedule[[#This Row],[PMT NO]]&lt;&gt;"",SUM(INDEX([INTEREST],1,1):PaymentSchedule[[#This Row],[INTEREST]]),"")</f>
        <v>96937.761224927992</v>
      </c>
    </row>
    <row r="338" spans="2:11">
      <c r="B338" s="4">
        <f>IF(LoanIsGood,IF(ROW()-ROW(PaymentSchedule[[#Headers],[PMT NO]])&gt;ScheduledNumberOfPayments,"",ROW()-ROW(PaymentSchedule[[#Headers],[PMT NO]])),"")</f>
        <v>319</v>
      </c>
      <c r="C338" s="5">
        <f>IF(PaymentSchedule[[#This Row],[PMT NO]]&lt;&gt;"",EOMONTH(LoanStartDate,ROW(PaymentSchedule[[#This Row],[PMT NO]])-ROW(PaymentSchedule[[#Headers],[PMT NO]])-2)+DAY(LoanStartDate),"")</f>
        <v>53752</v>
      </c>
      <c r="D338" s="7">
        <f>IF(PaymentSchedule[[#This Row],[PMT NO]]&lt;&gt;"",IF(ROW()-ROW(PaymentSchedule[[#Headers],[BEGINNING BALANCE]])=1,LoanAmount,INDEX([ENDING BALANCE],ROW()-ROW(PaymentSchedule[[#Headers],[BEGINNING BALANCE]])-1)),"")</f>
        <v>23586.646995370007</v>
      </c>
      <c r="E338" s="7">
        <f>IF(PaymentSchedule[[#This Row],[PMT NO]]&lt;&gt;"",ScheduledPayment,"")</f>
        <v>608.02237179106271</v>
      </c>
      <c r="F33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8" s="7">
        <f>IF(PaymentSchedule[[#This Row],[PMT NO]]&lt;&gt;"",PaymentSchedule[[#This Row],[TOTAL PAYMENT]]-PaymentSchedule[[#This Row],[INTEREST]],"")</f>
        <v>519.57244555842522</v>
      </c>
      <c r="I338" s="7">
        <f>IF(PaymentSchedule[[#This Row],[PMT NO]]&lt;&gt;"",PaymentSchedule[[#This Row],[BEGINNING BALANCE]]*(InterestRate/PaymentsPerYear),"")</f>
        <v>88.449926232637523</v>
      </c>
      <c r="J338" s="7">
        <f>IF(PaymentSchedule[[#This Row],[PMT NO]]&lt;&gt;"",IF(PaymentSchedule[[#This Row],[SCHEDULED PAYMENT]]+PaymentSchedule[[#This Row],[EXTRA PAYMENT]]&lt;=PaymentSchedule[[#This Row],[BEGINNING BALANCE]],PaymentSchedule[[#This Row],[BEGINNING BALANCE]]-PaymentSchedule[[#This Row],[PRINCIPAL]],0),"")</f>
        <v>23067.074549811583</v>
      </c>
      <c r="K338" s="7">
        <f>IF(PaymentSchedule[[#This Row],[PMT NO]]&lt;&gt;"",SUM(INDEX([INTEREST],1,1):PaymentSchedule[[#This Row],[INTEREST]]),"")</f>
        <v>97026.211151160634</v>
      </c>
    </row>
    <row r="339" spans="2:11">
      <c r="B339" s="4">
        <f>IF(LoanIsGood,IF(ROW()-ROW(PaymentSchedule[[#Headers],[PMT NO]])&gt;ScheduledNumberOfPayments,"",ROW()-ROW(PaymentSchedule[[#Headers],[PMT NO]])),"")</f>
        <v>320</v>
      </c>
      <c r="C339" s="5">
        <f>IF(PaymentSchedule[[#This Row],[PMT NO]]&lt;&gt;"",EOMONTH(LoanStartDate,ROW(PaymentSchedule[[#This Row],[PMT NO]])-ROW(PaymentSchedule[[#Headers],[PMT NO]])-2)+DAY(LoanStartDate),"")</f>
        <v>53783</v>
      </c>
      <c r="D339" s="7">
        <f>IF(PaymentSchedule[[#This Row],[PMT NO]]&lt;&gt;"",IF(ROW()-ROW(PaymentSchedule[[#Headers],[BEGINNING BALANCE]])=1,LoanAmount,INDEX([ENDING BALANCE],ROW()-ROW(PaymentSchedule[[#Headers],[BEGINNING BALANCE]])-1)),"")</f>
        <v>23067.074549811583</v>
      </c>
      <c r="E339" s="7">
        <f>IF(PaymentSchedule[[#This Row],[PMT NO]]&lt;&gt;"",ScheduledPayment,"")</f>
        <v>608.02237179106271</v>
      </c>
      <c r="F33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3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39" s="7">
        <f>IF(PaymentSchedule[[#This Row],[PMT NO]]&lt;&gt;"",PaymentSchedule[[#This Row],[TOTAL PAYMENT]]-PaymentSchedule[[#This Row],[INTEREST]],"")</f>
        <v>521.52084222926931</v>
      </c>
      <c r="I339" s="7">
        <f>IF(PaymentSchedule[[#This Row],[PMT NO]]&lt;&gt;"",PaymentSchedule[[#This Row],[BEGINNING BALANCE]]*(InterestRate/PaymentsPerYear),"")</f>
        <v>86.501529561793433</v>
      </c>
      <c r="J339" s="7">
        <f>IF(PaymentSchedule[[#This Row],[PMT NO]]&lt;&gt;"",IF(PaymentSchedule[[#This Row],[SCHEDULED PAYMENT]]+PaymentSchedule[[#This Row],[EXTRA PAYMENT]]&lt;=PaymentSchedule[[#This Row],[BEGINNING BALANCE]],PaymentSchedule[[#This Row],[BEGINNING BALANCE]]-PaymentSchedule[[#This Row],[PRINCIPAL]],0),"")</f>
        <v>22545.553707582312</v>
      </c>
      <c r="K339" s="7">
        <f>IF(PaymentSchedule[[#This Row],[PMT NO]]&lt;&gt;"",SUM(INDEX([INTEREST],1,1):PaymentSchedule[[#This Row],[INTEREST]]),"")</f>
        <v>97112.712680722427</v>
      </c>
    </row>
    <row r="340" spans="2:11">
      <c r="B340" s="4">
        <f>IF(LoanIsGood,IF(ROW()-ROW(PaymentSchedule[[#Headers],[PMT NO]])&gt;ScheduledNumberOfPayments,"",ROW()-ROW(PaymentSchedule[[#Headers],[PMT NO]])),"")</f>
        <v>321</v>
      </c>
      <c r="C340" s="5">
        <f>IF(PaymentSchedule[[#This Row],[PMT NO]]&lt;&gt;"",EOMONTH(LoanStartDate,ROW(PaymentSchedule[[#This Row],[PMT NO]])-ROW(PaymentSchedule[[#Headers],[PMT NO]])-2)+DAY(LoanStartDate),"")</f>
        <v>53813</v>
      </c>
      <c r="D340" s="7">
        <f>IF(PaymentSchedule[[#This Row],[PMT NO]]&lt;&gt;"",IF(ROW()-ROW(PaymentSchedule[[#Headers],[BEGINNING BALANCE]])=1,LoanAmount,INDEX([ENDING BALANCE],ROW()-ROW(PaymentSchedule[[#Headers],[BEGINNING BALANCE]])-1)),"")</f>
        <v>22545.553707582312</v>
      </c>
      <c r="E340" s="7">
        <f>IF(PaymentSchedule[[#This Row],[PMT NO]]&lt;&gt;"",ScheduledPayment,"")</f>
        <v>608.02237179106271</v>
      </c>
      <c r="F34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0" s="7">
        <f>IF(PaymentSchedule[[#This Row],[PMT NO]]&lt;&gt;"",PaymentSchedule[[#This Row],[TOTAL PAYMENT]]-PaymentSchedule[[#This Row],[INTEREST]],"")</f>
        <v>523.47654538762902</v>
      </c>
      <c r="I340" s="7">
        <f>IF(PaymentSchedule[[#This Row],[PMT NO]]&lt;&gt;"",PaymentSchedule[[#This Row],[BEGINNING BALANCE]]*(InterestRate/PaymentsPerYear),"")</f>
        <v>84.545826403433665</v>
      </c>
      <c r="J340" s="7">
        <f>IF(PaymentSchedule[[#This Row],[PMT NO]]&lt;&gt;"",IF(PaymentSchedule[[#This Row],[SCHEDULED PAYMENT]]+PaymentSchedule[[#This Row],[EXTRA PAYMENT]]&lt;=PaymentSchedule[[#This Row],[BEGINNING BALANCE]],PaymentSchedule[[#This Row],[BEGINNING BALANCE]]-PaymentSchedule[[#This Row],[PRINCIPAL]],0),"")</f>
        <v>22022.077162194684</v>
      </c>
      <c r="K340" s="7">
        <f>IF(PaymentSchedule[[#This Row],[PMT NO]]&lt;&gt;"",SUM(INDEX([INTEREST],1,1):PaymentSchedule[[#This Row],[INTEREST]]),"")</f>
        <v>97197.258507125865</v>
      </c>
    </row>
    <row r="341" spans="2:11">
      <c r="B341" s="4">
        <f>IF(LoanIsGood,IF(ROW()-ROW(PaymentSchedule[[#Headers],[PMT NO]])&gt;ScheduledNumberOfPayments,"",ROW()-ROW(PaymentSchedule[[#Headers],[PMT NO]])),"")</f>
        <v>322</v>
      </c>
      <c r="C341" s="5">
        <f>IF(PaymentSchedule[[#This Row],[PMT NO]]&lt;&gt;"",EOMONTH(LoanStartDate,ROW(PaymentSchedule[[#This Row],[PMT NO]])-ROW(PaymentSchedule[[#Headers],[PMT NO]])-2)+DAY(LoanStartDate),"")</f>
        <v>53844</v>
      </c>
      <c r="D341" s="7">
        <f>IF(PaymentSchedule[[#This Row],[PMT NO]]&lt;&gt;"",IF(ROW()-ROW(PaymentSchedule[[#Headers],[BEGINNING BALANCE]])=1,LoanAmount,INDEX([ENDING BALANCE],ROW()-ROW(PaymentSchedule[[#Headers],[BEGINNING BALANCE]])-1)),"")</f>
        <v>22022.077162194684</v>
      </c>
      <c r="E341" s="7">
        <f>IF(PaymentSchedule[[#This Row],[PMT NO]]&lt;&gt;"",ScheduledPayment,"")</f>
        <v>608.02237179106271</v>
      </c>
      <c r="F34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1" s="7">
        <f>IF(PaymentSchedule[[#This Row],[PMT NO]]&lt;&gt;"",PaymentSchedule[[#This Row],[TOTAL PAYMENT]]-PaymentSchedule[[#This Row],[INTEREST]],"")</f>
        <v>525.43958243283259</v>
      </c>
      <c r="I341" s="7">
        <f>IF(PaymentSchedule[[#This Row],[PMT NO]]&lt;&gt;"",PaymentSchedule[[#This Row],[BEGINNING BALANCE]]*(InterestRate/PaymentsPerYear),"")</f>
        <v>82.582789358230059</v>
      </c>
      <c r="J341" s="7">
        <f>IF(PaymentSchedule[[#This Row],[PMT NO]]&lt;&gt;"",IF(PaymentSchedule[[#This Row],[SCHEDULED PAYMENT]]+PaymentSchedule[[#This Row],[EXTRA PAYMENT]]&lt;=PaymentSchedule[[#This Row],[BEGINNING BALANCE]],PaymentSchedule[[#This Row],[BEGINNING BALANCE]]-PaymentSchedule[[#This Row],[PRINCIPAL]],0),"")</f>
        <v>21496.637579761853</v>
      </c>
      <c r="K341" s="7">
        <f>IF(PaymentSchedule[[#This Row],[PMT NO]]&lt;&gt;"",SUM(INDEX([INTEREST],1,1):PaymentSchedule[[#This Row],[INTEREST]]),"")</f>
        <v>97279.841296484097</v>
      </c>
    </row>
    <row r="342" spans="2:11">
      <c r="B342" s="4">
        <f>IF(LoanIsGood,IF(ROW()-ROW(PaymentSchedule[[#Headers],[PMT NO]])&gt;ScheduledNumberOfPayments,"",ROW()-ROW(PaymentSchedule[[#Headers],[PMT NO]])),"")</f>
        <v>323</v>
      </c>
      <c r="C342" s="5">
        <f>IF(PaymentSchedule[[#This Row],[PMT NO]]&lt;&gt;"",EOMONTH(LoanStartDate,ROW(PaymentSchedule[[#This Row],[PMT NO]])-ROW(PaymentSchedule[[#Headers],[PMT NO]])-2)+DAY(LoanStartDate),"")</f>
        <v>53874</v>
      </c>
      <c r="D342" s="7">
        <f>IF(PaymentSchedule[[#This Row],[PMT NO]]&lt;&gt;"",IF(ROW()-ROW(PaymentSchedule[[#Headers],[BEGINNING BALANCE]])=1,LoanAmount,INDEX([ENDING BALANCE],ROW()-ROW(PaymentSchedule[[#Headers],[BEGINNING BALANCE]])-1)),"")</f>
        <v>21496.637579761853</v>
      </c>
      <c r="E342" s="7">
        <f>IF(PaymentSchedule[[#This Row],[PMT NO]]&lt;&gt;"",ScheduledPayment,"")</f>
        <v>608.02237179106271</v>
      </c>
      <c r="F34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2" s="7">
        <f>IF(PaymentSchedule[[#This Row],[PMT NO]]&lt;&gt;"",PaymentSchedule[[#This Row],[TOTAL PAYMENT]]-PaymentSchedule[[#This Row],[INTEREST]],"")</f>
        <v>527.40998086695572</v>
      </c>
      <c r="I342" s="7">
        <f>IF(PaymentSchedule[[#This Row],[PMT NO]]&lt;&gt;"",PaymentSchedule[[#This Row],[BEGINNING BALANCE]]*(InterestRate/PaymentsPerYear),"")</f>
        <v>80.612390924106947</v>
      </c>
      <c r="J342" s="7">
        <f>IF(PaymentSchedule[[#This Row],[PMT NO]]&lt;&gt;"",IF(PaymentSchedule[[#This Row],[SCHEDULED PAYMENT]]+PaymentSchedule[[#This Row],[EXTRA PAYMENT]]&lt;=PaymentSchedule[[#This Row],[BEGINNING BALANCE]],PaymentSchedule[[#This Row],[BEGINNING BALANCE]]-PaymentSchedule[[#This Row],[PRINCIPAL]],0),"")</f>
        <v>20969.227598894897</v>
      </c>
      <c r="K342" s="7">
        <f>IF(PaymentSchedule[[#This Row],[PMT NO]]&lt;&gt;"",SUM(INDEX([INTEREST],1,1):PaymentSchedule[[#This Row],[INTEREST]]),"")</f>
        <v>97360.453687408211</v>
      </c>
    </row>
    <row r="343" spans="2:11">
      <c r="B343" s="4">
        <f>IF(LoanIsGood,IF(ROW()-ROW(PaymentSchedule[[#Headers],[PMT NO]])&gt;ScheduledNumberOfPayments,"",ROW()-ROW(PaymentSchedule[[#Headers],[PMT NO]])),"")</f>
        <v>324</v>
      </c>
      <c r="C343" s="5">
        <f>IF(PaymentSchedule[[#This Row],[PMT NO]]&lt;&gt;"",EOMONTH(LoanStartDate,ROW(PaymentSchedule[[#This Row],[PMT NO]])-ROW(PaymentSchedule[[#Headers],[PMT NO]])-2)+DAY(LoanStartDate),"")</f>
        <v>53905</v>
      </c>
      <c r="D343" s="7">
        <f>IF(PaymentSchedule[[#This Row],[PMT NO]]&lt;&gt;"",IF(ROW()-ROW(PaymentSchedule[[#Headers],[BEGINNING BALANCE]])=1,LoanAmount,INDEX([ENDING BALANCE],ROW()-ROW(PaymentSchedule[[#Headers],[BEGINNING BALANCE]])-1)),"")</f>
        <v>20969.227598894897</v>
      </c>
      <c r="E343" s="7">
        <f>IF(PaymentSchedule[[#This Row],[PMT NO]]&lt;&gt;"",ScheduledPayment,"")</f>
        <v>608.02237179106271</v>
      </c>
      <c r="F34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3" s="7">
        <f>IF(PaymentSchedule[[#This Row],[PMT NO]]&lt;&gt;"",PaymentSchedule[[#This Row],[TOTAL PAYMENT]]-PaymentSchedule[[#This Row],[INTEREST]],"")</f>
        <v>529.3877682952068</v>
      </c>
      <c r="I343" s="7">
        <f>IF(PaymentSchedule[[#This Row],[PMT NO]]&lt;&gt;"",PaymentSchedule[[#This Row],[BEGINNING BALANCE]]*(InterestRate/PaymentsPerYear),"")</f>
        <v>78.634603495855856</v>
      </c>
      <c r="J343" s="7">
        <f>IF(PaymentSchedule[[#This Row],[PMT NO]]&lt;&gt;"",IF(PaymentSchedule[[#This Row],[SCHEDULED PAYMENT]]+PaymentSchedule[[#This Row],[EXTRA PAYMENT]]&lt;=PaymentSchedule[[#This Row],[BEGINNING BALANCE]],PaymentSchedule[[#This Row],[BEGINNING BALANCE]]-PaymentSchedule[[#This Row],[PRINCIPAL]],0),"")</f>
        <v>20439.839830599689</v>
      </c>
      <c r="K343" s="7">
        <f>IF(PaymentSchedule[[#This Row],[PMT NO]]&lt;&gt;"",SUM(INDEX([INTEREST],1,1):PaymentSchedule[[#This Row],[INTEREST]]),"")</f>
        <v>97439.088290904067</v>
      </c>
    </row>
    <row r="344" spans="2:11">
      <c r="B344" s="4">
        <f>IF(LoanIsGood,IF(ROW()-ROW(PaymentSchedule[[#Headers],[PMT NO]])&gt;ScheduledNumberOfPayments,"",ROW()-ROW(PaymentSchedule[[#Headers],[PMT NO]])),"")</f>
        <v>325</v>
      </c>
      <c r="C344" s="5">
        <f>IF(PaymentSchedule[[#This Row],[PMT NO]]&lt;&gt;"",EOMONTH(LoanStartDate,ROW(PaymentSchedule[[#This Row],[PMT NO]])-ROW(PaymentSchedule[[#Headers],[PMT NO]])-2)+DAY(LoanStartDate),"")</f>
        <v>53936</v>
      </c>
      <c r="D344" s="7">
        <f>IF(PaymentSchedule[[#This Row],[PMT NO]]&lt;&gt;"",IF(ROW()-ROW(PaymentSchedule[[#Headers],[BEGINNING BALANCE]])=1,LoanAmount,INDEX([ENDING BALANCE],ROW()-ROW(PaymentSchedule[[#Headers],[BEGINNING BALANCE]])-1)),"")</f>
        <v>20439.839830599689</v>
      </c>
      <c r="E344" s="7">
        <f>IF(PaymentSchedule[[#This Row],[PMT NO]]&lt;&gt;"",ScheduledPayment,"")</f>
        <v>608.02237179106271</v>
      </c>
      <c r="F34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4" s="7">
        <f>IF(PaymentSchedule[[#This Row],[PMT NO]]&lt;&gt;"",PaymentSchedule[[#This Row],[TOTAL PAYMENT]]-PaymentSchedule[[#This Row],[INTEREST]],"")</f>
        <v>531.37297242631394</v>
      </c>
      <c r="I344" s="7">
        <f>IF(PaymentSchedule[[#This Row],[PMT NO]]&lt;&gt;"",PaymentSchedule[[#This Row],[BEGINNING BALANCE]]*(InterestRate/PaymentsPerYear),"")</f>
        <v>76.649399364748831</v>
      </c>
      <c r="J344" s="7">
        <f>IF(PaymentSchedule[[#This Row],[PMT NO]]&lt;&gt;"",IF(PaymentSchedule[[#This Row],[SCHEDULED PAYMENT]]+PaymentSchedule[[#This Row],[EXTRA PAYMENT]]&lt;=PaymentSchedule[[#This Row],[BEGINNING BALANCE]],PaymentSchedule[[#This Row],[BEGINNING BALANCE]]-PaymentSchedule[[#This Row],[PRINCIPAL]],0),"")</f>
        <v>19908.466858173375</v>
      </c>
      <c r="K344" s="7">
        <f>IF(PaymentSchedule[[#This Row],[PMT NO]]&lt;&gt;"",SUM(INDEX([INTEREST],1,1):PaymentSchedule[[#This Row],[INTEREST]]),"")</f>
        <v>97515.737690268812</v>
      </c>
    </row>
    <row r="345" spans="2:11">
      <c r="B345" s="4">
        <f>IF(LoanIsGood,IF(ROW()-ROW(PaymentSchedule[[#Headers],[PMT NO]])&gt;ScheduledNumberOfPayments,"",ROW()-ROW(PaymentSchedule[[#Headers],[PMT NO]])),"")</f>
        <v>326</v>
      </c>
      <c r="C345" s="5">
        <f>IF(PaymentSchedule[[#This Row],[PMT NO]]&lt;&gt;"",EOMONTH(LoanStartDate,ROW(PaymentSchedule[[#This Row],[PMT NO]])-ROW(PaymentSchedule[[#Headers],[PMT NO]])-2)+DAY(LoanStartDate),"")</f>
        <v>53966</v>
      </c>
      <c r="D345" s="7">
        <f>IF(PaymentSchedule[[#This Row],[PMT NO]]&lt;&gt;"",IF(ROW()-ROW(PaymentSchedule[[#Headers],[BEGINNING BALANCE]])=1,LoanAmount,INDEX([ENDING BALANCE],ROW()-ROW(PaymentSchedule[[#Headers],[BEGINNING BALANCE]])-1)),"")</f>
        <v>19908.466858173375</v>
      </c>
      <c r="E345" s="7">
        <f>IF(PaymentSchedule[[#This Row],[PMT NO]]&lt;&gt;"",ScheduledPayment,"")</f>
        <v>608.02237179106271</v>
      </c>
      <c r="F34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5" s="7">
        <f>IF(PaymentSchedule[[#This Row],[PMT NO]]&lt;&gt;"",PaymentSchedule[[#This Row],[TOTAL PAYMENT]]-PaymentSchedule[[#This Row],[INTEREST]],"")</f>
        <v>533.36562107291252</v>
      </c>
      <c r="I345" s="7">
        <f>IF(PaymentSchedule[[#This Row],[PMT NO]]&lt;&gt;"",PaymentSchedule[[#This Row],[BEGINNING BALANCE]]*(InterestRate/PaymentsPerYear),"")</f>
        <v>74.65675071815015</v>
      </c>
      <c r="J345" s="7">
        <f>IF(PaymentSchedule[[#This Row],[PMT NO]]&lt;&gt;"",IF(PaymentSchedule[[#This Row],[SCHEDULED PAYMENT]]+PaymentSchedule[[#This Row],[EXTRA PAYMENT]]&lt;=PaymentSchedule[[#This Row],[BEGINNING BALANCE]],PaymentSchedule[[#This Row],[BEGINNING BALANCE]]-PaymentSchedule[[#This Row],[PRINCIPAL]],0),"")</f>
        <v>19375.101237100462</v>
      </c>
      <c r="K345" s="7">
        <f>IF(PaymentSchedule[[#This Row],[PMT NO]]&lt;&gt;"",SUM(INDEX([INTEREST],1,1):PaymentSchedule[[#This Row],[INTEREST]]),"")</f>
        <v>97590.394440986958</v>
      </c>
    </row>
    <row r="346" spans="2:11">
      <c r="B346" s="4">
        <f>IF(LoanIsGood,IF(ROW()-ROW(PaymentSchedule[[#Headers],[PMT NO]])&gt;ScheduledNumberOfPayments,"",ROW()-ROW(PaymentSchedule[[#Headers],[PMT NO]])),"")</f>
        <v>327</v>
      </c>
      <c r="C346" s="5">
        <f>IF(PaymentSchedule[[#This Row],[PMT NO]]&lt;&gt;"",EOMONTH(LoanStartDate,ROW(PaymentSchedule[[#This Row],[PMT NO]])-ROW(PaymentSchedule[[#Headers],[PMT NO]])-2)+DAY(LoanStartDate),"")</f>
        <v>53997</v>
      </c>
      <c r="D346" s="7">
        <f>IF(PaymentSchedule[[#This Row],[PMT NO]]&lt;&gt;"",IF(ROW()-ROW(PaymentSchedule[[#Headers],[BEGINNING BALANCE]])=1,LoanAmount,INDEX([ENDING BALANCE],ROW()-ROW(PaymentSchedule[[#Headers],[BEGINNING BALANCE]])-1)),"")</f>
        <v>19375.101237100462</v>
      </c>
      <c r="E346" s="7">
        <f>IF(PaymentSchedule[[#This Row],[PMT NO]]&lt;&gt;"",ScheduledPayment,"")</f>
        <v>608.02237179106271</v>
      </c>
      <c r="F34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6" s="7">
        <f>IF(PaymentSchedule[[#This Row],[PMT NO]]&lt;&gt;"",PaymentSchedule[[#This Row],[TOTAL PAYMENT]]-PaymentSchedule[[#This Row],[INTEREST]],"")</f>
        <v>535.36574215193593</v>
      </c>
      <c r="I346" s="7">
        <f>IF(PaymentSchedule[[#This Row],[PMT NO]]&lt;&gt;"",PaymentSchedule[[#This Row],[BEGINNING BALANCE]]*(InterestRate/PaymentsPerYear),"")</f>
        <v>72.656629639126734</v>
      </c>
      <c r="J346" s="7">
        <f>IF(PaymentSchedule[[#This Row],[PMT NO]]&lt;&gt;"",IF(PaymentSchedule[[#This Row],[SCHEDULED PAYMENT]]+PaymentSchedule[[#This Row],[EXTRA PAYMENT]]&lt;=PaymentSchedule[[#This Row],[BEGINNING BALANCE]],PaymentSchedule[[#This Row],[BEGINNING BALANCE]]-PaymentSchedule[[#This Row],[PRINCIPAL]],0),"")</f>
        <v>18839.735494948527</v>
      </c>
      <c r="K346" s="7">
        <f>IF(PaymentSchedule[[#This Row],[PMT NO]]&lt;&gt;"",SUM(INDEX([INTEREST],1,1):PaymentSchedule[[#This Row],[INTEREST]]),"")</f>
        <v>97663.051070626083</v>
      </c>
    </row>
    <row r="347" spans="2:11">
      <c r="B347" s="4">
        <f>IF(LoanIsGood,IF(ROW()-ROW(PaymentSchedule[[#Headers],[PMT NO]])&gt;ScheduledNumberOfPayments,"",ROW()-ROW(PaymentSchedule[[#Headers],[PMT NO]])),"")</f>
        <v>328</v>
      </c>
      <c r="C347" s="5">
        <f>IF(PaymentSchedule[[#This Row],[PMT NO]]&lt;&gt;"",EOMONTH(LoanStartDate,ROW(PaymentSchedule[[#This Row],[PMT NO]])-ROW(PaymentSchedule[[#Headers],[PMT NO]])-2)+DAY(LoanStartDate),"")</f>
        <v>54027</v>
      </c>
      <c r="D347" s="7">
        <f>IF(PaymentSchedule[[#This Row],[PMT NO]]&lt;&gt;"",IF(ROW()-ROW(PaymentSchedule[[#Headers],[BEGINNING BALANCE]])=1,LoanAmount,INDEX([ENDING BALANCE],ROW()-ROW(PaymentSchedule[[#Headers],[BEGINNING BALANCE]])-1)),"")</f>
        <v>18839.735494948527</v>
      </c>
      <c r="E347" s="7">
        <f>IF(PaymentSchedule[[#This Row],[PMT NO]]&lt;&gt;"",ScheduledPayment,"")</f>
        <v>608.02237179106271</v>
      </c>
      <c r="F34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7" s="7">
        <f>IF(PaymentSchedule[[#This Row],[PMT NO]]&lt;&gt;"",PaymentSchedule[[#This Row],[TOTAL PAYMENT]]-PaymentSchedule[[#This Row],[INTEREST]],"")</f>
        <v>537.37336368500576</v>
      </c>
      <c r="I347" s="7">
        <f>IF(PaymentSchedule[[#This Row],[PMT NO]]&lt;&gt;"",PaymentSchedule[[#This Row],[BEGINNING BALANCE]]*(InterestRate/PaymentsPerYear),"")</f>
        <v>70.649008106056968</v>
      </c>
      <c r="J347" s="7">
        <f>IF(PaymentSchedule[[#This Row],[PMT NO]]&lt;&gt;"",IF(PaymentSchedule[[#This Row],[SCHEDULED PAYMENT]]+PaymentSchedule[[#This Row],[EXTRA PAYMENT]]&lt;=PaymentSchedule[[#This Row],[BEGINNING BALANCE]],PaymentSchedule[[#This Row],[BEGINNING BALANCE]]-PaymentSchedule[[#This Row],[PRINCIPAL]],0),"")</f>
        <v>18302.362131263522</v>
      </c>
      <c r="K347" s="7">
        <f>IF(PaymentSchedule[[#This Row],[PMT NO]]&lt;&gt;"",SUM(INDEX([INTEREST],1,1):PaymentSchedule[[#This Row],[INTEREST]]),"")</f>
        <v>97733.700078732145</v>
      </c>
    </row>
    <row r="348" spans="2:11">
      <c r="B348" s="4">
        <f>IF(LoanIsGood,IF(ROW()-ROW(PaymentSchedule[[#Headers],[PMT NO]])&gt;ScheduledNumberOfPayments,"",ROW()-ROW(PaymentSchedule[[#Headers],[PMT NO]])),"")</f>
        <v>329</v>
      </c>
      <c r="C348" s="5">
        <f>IF(PaymentSchedule[[#This Row],[PMT NO]]&lt;&gt;"",EOMONTH(LoanStartDate,ROW(PaymentSchedule[[#This Row],[PMT NO]])-ROW(PaymentSchedule[[#Headers],[PMT NO]])-2)+DAY(LoanStartDate),"")</f>
        <v>54058</v>
      </c>
      <c r="D348" s="7">
        <f>IF(PaymentSchedule[[#This Row],[PMT NO]]&lt;&gt;"",IF(ROW()-ROW(PaymentSchedule[[#Headers],[BEGINNING BALANCE]])=1,LoanAmount,INDEX([ENDING BALANCE],ROW()-ROW(PaymentSchedule[[#Headers],[BEGINNING BALANCE]])-1)),"")</f>
        <v>18302.362131263522</v>
      </c>
      <c r="E348" s="7">
        <f>IF(PaymentSchedule[[#This Row],[PMT NO]]&lt;&gt;"",ScheduledPayment,"")</f>
        <v>608.02237179106271</v>
      </c>
      <c r="F34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8" s="7">
        <f>IF(PaymentSchedule[[#This Row],[PMT NO]]&lt;&gt;"",PaymentSchedule[[#This Row],[TOTAL PAYMENT]]-PaymentSchedule[[#This Row],[INTEREST]],"")</f>
        <v>539.38851379882453</v>
      </c>
      <c r="I348" s="7">
        <f>IF(PaymentSchedule[[#This Row],[PMT NO]]&lt;&gt;"",PaymentSchedule[[#This Row],[BEGINNING BALANCE]]*(InterestRate/PaymentsPerYear),"")</f>
        <v>68.633857992238205</v>
      </c>
      <c r="J348" s="7">
        <f>IF(PaymentSchedule[[#This Row],[PMT NO]]&lt;&gt;"",IF(PaymentSchedule[[#This Row],[SCHEDULED PAYMENT]]+PaymentSchedule[[#This Row],[EXTRA PAYMENT]]&lt;=PaymentSchedule[[#This Row],[BEGINNING BALANCE]],PaymentSchedule[[#This Row],[BEGINNING BALANCE]]-PaymentSchedule[[#This Row],[PRINCIPAL]],0),"")</f>
        <v>17762.973617464697</v>
      </c>
      <c r="K348" s="7">
        <f>IF(PaymentSchedule[[#This Row],[PMT NO]]&lt;&gt;"",SUM(INDEX([INTEREST],1,1):PaymentSchedule[[#This Row],[INTEREST]]),"")</f>
        <v>97802.33393672439</v>
      </c>
    </row>
    <row r="349" spans="2:11">
      <c r="B349" s="4">
        <f>IF(LoanIsGood,IF(ROW()-ROW(PaymentSchedule[[#Headers],[PMT NO]])&gt;ScheduledNumberOfPayments,"",ROW()-ROW(PaymentSchedule[[#Headers],[PMT NO]])),"")</f>
        <v>330</v>
      </c>
      <c r="C349" s="5">
        <f>IF(PaymentSchedule[[#This Row],[PMT NO]]&lt;&gt;"",EOMONTH(LoanStartDate,ROW(PaymentSchedule[[#This Row],[PMT NO]])-ROW(PaymentSchedule[[#Headers],[PMT NO]])-2)+DAY(LoanStartDate),"")</f>
        <v>54089</v>
      </c>
      <c r="D349" s="7">
        <f>IF(PaymentSchedule[[#This Row],[PMT NO]]&lt;&gt;"",IF(ROW()-ROW(PaymentSchedule[[#Headers],[BEGINNING BALANCE]])=1,LoanAmount,INDEX([ENDING BALANCE],ROW()-ROW(PaymentSchedule[[#Headers],[BEGINNING BALANCE]])-1)),"")</f>
        <v>17762.973617464697</v>
      </c>
      <c r="E349" s="7">
        <f>IF(PaymentSchedule[[#This Row],[PMT NO]]&lt;&gt;"",ScheduledPayment,"")</f>
        <v>608.02237179106271</v>
      </c>
      <c r="F34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4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49" s="7">
        <f>IF(PaymentSchedule[[#This Row],[PMT NO]]&lt;&gt;"",PaymentSchedule[[#This Row],[TOTAL PAYMENT]]-PaymentSchedule[[#This Row],[INTEREST]],"")</f>
        <v>541.41122072557005</v>
      </c>
      <c r="I349" s="7">
        <f>IF(PaymentSchedule[[#This Row],[PMT NO]]&lt;&gt;"",PaymentSchedule[[#This Row],[BEGINNING BALANCE]]*(InterestRate/PaymentsPerYear),"")</f>
        <v>66.611151065492606</v>
      </c>
      <c r="J349" s="7">
        <f>IF(PaymentSchedule[[#This Row],[PMT NO]]&lt;&gt;"",IF(PaymentSchedule[[#This Row],[SCHEDULED PAYMENT]]+PaymentSchedule[[#This Row],[EXTRA PAYMENT]]&lt;=PaymentSchedule[[#This Row],[BEGINNING BALANCE]],PaymentSchedule[[#This Row],[BEGINNING BALANCE]]-PaymentSchedule[[#This Row],[PRINCIPAL]],0),"")</f>
        <v>17221.562396739126</v>
      </c>
      <c r="K349" s="7">
        <f>IF(PaymentSchedule[[#This Row],[PMT NO]]&lt;&gt;"",SUM(INDEX([INTEREST],1,1):PaymentSchedule[[#This Row],[INTEREST]]),"")</f>
        <v>97868.945087789878</v>
      </c>
    </row>
    <row r="350" spans="2:11">
      <c r="B350" s="4">
        <f>IF(LoanIsGood,IF(ROW()-ROW(PaymentSchedule[[#Headers],[PMT NO]])&gt;ScheduledNumberOfPayments,"",ROW()-ROW(PaymentSchedule[[#Headers],[PMT NO]])),"")</f>
        <v>331</v>
      </c>
      <c r="C350" s="5">
        <f>IF(PaymentSchedule[[#This Row],[PMT NO]]&lt;&gt;"",EOMONTH(LoanStartDate,ROW(PaymentSchedule[[#This Row],[PMT NO]])-ROW(PaymentSchedule[[#Headers],[PMT NO]])-2)+DAY(LoanStartDate),"")</f>
        <v>54118</v>
      </c>
      <c r="D350" s="7">
        <f>IF(PaymentSchedule[[#This Row],[PMT NO]]&lt;&gt;"",IF(ROW()-ROW(PaymentSchedule[[#Headers],[BEGINNING BALANCE]])=1,LoanAmount,INDEX([ENDING BALANCE],ROW()-ROW(PaymentSchedule[[#Headers],[BEGINNING BALANCE]])-1)),"")</f>
        <v>17221.562396739126</v>
      </c>
      <c r="E350" s="7">
        <f>IF(PaymentSchedule[[#This Row],[PMT NO]]&lt;&gt;"",ScheduledPayment,"")</f>
        <v>608.02237179106271</v>
      </c>
      <c r="F35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0" s="7">
        <f>IF(PaymentSchedule[[#This Row],[PMT NO]]&lt;&gt;"",PaymentSchedule[[#This Row],[TOTAL PAYMENT]]-PaymentSchedule[[#This Row],[INTEREST]],"")</f>
        <v>543.44151280329095</v>
      </c>
      <c r="I350" s="7">
        <f>IF(PaymentSchedule[[#This Row],[PMT NO]]&lt;&gt;"",PaymentSchedule[[#This Row],[BEGINNING BALANCE]]*(InterestRate/PaymentsPerYear),"")</f>
        <v>64.58085898777172</v>
      </c>
      <c r="J350" s="7">
        <f>IF(PaymentSchedule[[#This Row],[PMT NO]]&lt;&gt;"",IF(PaymentSchedule[[#This Row],[SCHEDULED PAYMENT]]+PaymentSchedule[[#This Row],[EXTRA PAYMENT]]&lt;=PaymentSchedule[[#This Row],[BEGINNING BALANCE]],PaymentSchedule[[#This Row],[BEGINNING BALANCE]]-PaymentSchedule[[#This Row],[PRINCIPAL]],0),"")</f>
        <v>16678.120883935833</v>
      </c>
      <c r="K350" s="7">
        <f>IF(PaymentSchedule[[#This Row],[PMT NO]]&lt;&gt;"",SUM(INDEX([INTEREST],1,1):PaymentSchedule[[#This Row],[INTEREST]]),"")</f>
        <v>97933.525946777649</v>
      </c>
    </row>
    <row r="351" spans="2:11">
      <c r="B351" s="4">
        <f>IF(LoanIsGood,IF(ROW()-ROW(PaymentSchedule[[#Headers],[PMT NO]])&gt;ScheduledNumberOfPayments,"",ROW()-ROW(PaymentSchedule[[#Headers],[PMT NO]])),"")</f>
        <v>332</v>
      </c>
      <c r="C351" s="5">
        <f>IF(PaymentSchedule[[#This Row],[PMT NO]]&lt;&gt;"",EOMONTH(LoanStartDate,ROW(PaymentSchedule[[#This Row],[PMT NO]])-ROW(PaymentSchedule[[#Headers],[PMT NO]])-2)+DAY(LoanStartDate),"")</f>
        <v>54149</v>
      </c>
      <c r="D351" s="7">
        <f>IF(PaymentSchedule[[#This Row],[PMT NO]]&lt;&gt;"",IF(ROW()-ROW(PaymentSchedule[[#Headers],[BEGINNING BALANCE]])=1,LoanAmount,INDEX([ENDING BALANCE],ROW()-ROW(PaymentSchedule[[#Headers],[BEGINNING BALANCE]])-1)),"")</f>
        <v>16678.120883935833</v>
      </c>
      <c r="E351" s="7">
        <f>IF(PaymentSchedule[[#This Row],[PMT NO]]&lt;&gt;"",ScheduledPayment,"")</f>
        <v>608.02237179106271</v>
      </c>
      <c r="F35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1" s="7">
        <f>IF(PaymentSchedule[[#This Row],[PMT NO]]&lt;&gt;"",PaymentSchedule[[#This Row],[TOTAL PAYMENT]]-PaymentSchedule[[#This Row],[INTEREST]],"")</f>
        <v>545.47941847630329</v>
      </c>
      <c r="I351" s="7">
        <f>IF(PaymentSchedule[[#This Row],[PMT NO]]&lt;&gt;"",PaymentSchedule[[#This Row],[BEGINNING BALANCE]]*(InterestRate/PaymentsPerYear),"")</f>
        <v>62.542953314759373</v>
      </c>
      <c r="J351" s="7">
        <f>IF(PaymentSchedule[[#This Row],[PMT NO]]&lt;&gt;"",IF(PaymentSchedule[[#This Row],[SCHEDULED PAYMENT]]+PaymentSchedule[[#This Row],[EXTRA PAYMENT]]&lt;=PaymentSchedule[[#This Row],[BEGINNING BALANCE]],PaymentSchedule[[#This Row],[BEGINNING BALANCE]]-PaymentSchedule[[#This Row],[PRINCIPAL]],0),"")</f>
        <v>16132.64146545953</v>
      </c>
      <c r="K351" s="7">
        <f>IF(PaymentSchedule[[#This Row],[PMT NO]]&lt;&gt;"",SUM(INDEX([INTEREST],1,1):PaymentSchedule[[#This Row],[INTEREST]]),"")</f>
        <v>97996.068900092403</v>
      </c>
    </row>
    <row r="352" spans="2:11">
      <c r="B352" s="4">
        <f>IF(LoanIsGood,IF(ROW()-ROW(PaymentSchedule[[#Headers],[PMT NO]])&gt;ScheduledNumberOfPayments,"",ROW()-ROW(PaymentSchedule[[#Headers],[PMT NO]])),"")</f>
        <v>333</v>
      </c>
      <c r="C352" s="5">
        <f>IF(PaymentSchedule[[#This Row],[PMT NO]]&lt;&gt;"",EOMONTH(LoanStartDate,ROW(PaymentSchedule[[#This Row],[PMT NO]])-ROW(PaymentSchedule[[#Headers],[PMT NO]])-2)+DAY(LoanStartDate),"")</f>
        <v>54179</v>
      </c>
      <c r="D352" s="7">
        <f>IF(PaymentSchedule[[#This Row],[PMT NO]]&lt;&gt;"",IF(ROW()-ROW(PaymentSchedule[[#Headers],[BEGINNING BALANCE]])=1,LoanAmount,INDEX([ENDING BALANCE],ROW()-ROW(PaymentSchedule[[#Headers],[BEGINNING BALANCE]])-1)),"")</f>
        <v>16132.64146545953</v>
      </c>
      <c r="E352" s="7">
        <f>IF(PaymentSchedule[[#This Row],[PMT NO]]&lt;&gt;"",ScheduledPayment,"")</f>
        <v>608.02237179106271</v>
      </c>
      <c r="F35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2" s="7">
        <f>IF(PaymentSchedule[[#This Row],[PMT NO]]&lt;&gt;"",PaymentSchedule[[#This Row],[TOTAL PAYMENT]]-PaymentSchedule[[#This Row],[INTEREST]],"")</f>
        <v>547.52496629558948</v>
      </c>
      <c r="I352" s="7">
        <f>IF(PaymentSchedule[[#This Row],[PMT NO]]&lt;&gt;"",PaymentSchedule[[#This Row],[BEGINNING BALANCE]]*(InterestRate/PaymentsPerYear),"")</f>
        <v>60.497405495473238</v>
      </c>
      <c r="J352" s="7">
        <f>IF(PaymentSchedule[[#This Row],[PMT NO]]&lt;&gt;"",IF(PaymentSchedule[[#This Row],[SCHEDULED PAYMENT]]+PaymentSchedule[[#This Row],[EXTRA PAYMENT]]&lt;=PaymentSchedule[[#This Row],[BEGINNING BALANCE]],PaymentSchedule[[#This Row],[BEGINNING BALANCE]]-PaymentSchedule[[#This Row],[PRINCIPAL]],0),"")</f>
        <v>15585.11649916394</v>
      </c>
      <c r="K352" s="7">
        <f>IF(PaymentSchedule[[#This Row],[PMT NO]]&lt;&gt;"",SUM(INDEX([INTEREST],1,1):PaymentSchedule[[#This Row],[INTEREST]]),"")</f>
        <v>98056.566305587883</v>
      </c>
    </row>
    <row r="353" spans="2:11">
      <c r="B353" s="4">
        <f>IF(LoanIsGood,IF(ROW()-ROW(PaymentSchedule[[#Headers],[PMT NO]])&gt;ScheduledNumberOfPayments,"",ROW()-ROW(PaymentSchedule[[#Headers],[PMT NO]])),"")</f>
        <v>334</v>
      </c>
      <c r="C353" s="5">
        <f>IF(PaymentSchedule[[#This Row],[PMT NO]]&lt;&gt;"",EOMONTH(LoanStartDate,ROW(PaymentSchedule[[#This Row],[PMT NO]])-ROW(PaymentSchedule[[#Headers],[PMT NO]])-2)+DAY(LoanStartDate),"")</f>
        <v>54210</v>
      </c>
      <c r="D353" s="7">
        <f>IF(PaymentSchedule[[#This Row],[PMT NO]]&lt;&gt;"",IF(ROW()-ROW(PaymentSchedule[[#Headers],[BEGINNING BALANCE]])=1,LoanAmount,INDEX([ENDING BALANCE],ROW()-ROW(PaymentSchedule[[#Headers],[BEGINNING BALANCE]])-1)),"")</f>
        <v>15585.11649916394</v>
      </c>
      <c r="E353" s="7">
        <f>IF(PaymentSchedule[[#This Row],[PMT NO]]&lt;&gt;"",ScheduledPayment,"")</f>
        <v>608.02237179106271</v>
      </c>
      <c r="F35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3" s="7">
        <f>IF(PaymentSchedule[[#This Row],[PMT NO]]&lt;&gt;"",PaymentSchedule[[#This Row],[TOTAL PAYMENT]]-PaymentSchedule[[#This Row],[INTEREST]],"")</f>
        <v>549.57818491919795</v>
      </c>
      <c r="I353" s="7">
        <f>IF(PaymentSchedule[[#This Row],[PMT NO]]&lt;&gt;"",PaymentSchedule[[#This Row],[BEGINNING BALANCE]]*(InterestRate/PaymentsPerYear),"")</f>
        <v>58.444186871864773</v>
      </c>
      <c r="J353" s="7">
        <f>IF(PaymentSchedule[[#This Row],[PMT NO]]&lt;&gt;"",IF(PaymentSchedule[[#This Row],[SCHEDULED PAYMENT]]+PaymentSchedule[[#This Row],[EXTRA PAYMENT]]&lt;=PaymentSchedule[[#This Row],[BEGINNING BALANCE]],PaymentSchedule[[#This Row],[BEGINNING BALANCE]]-PaymentSchedule[[#This Row],[PRINCIPAL]],0),"")</f>
        <v>15035.538314244743</v>
      </c>
      <c r="K353" s="7">
        <f>IF(PaymentSchedule[[#This Row],[PMT NO]]&lt;&gt;"",SUM(INDEX([INTEREST],1,1):PaymentSchedule[[#This Row],[INTEREST]]),"")</f>
        <v>98115.010492459754</v>
      </c>
    </row>
    <row r="354" spans="2:11">
      <c r="B354" s="4">
        <f>IF(LoanIsGood,IF(ROW()-ROW(PaymentSchedule[[#Headers],[PMT NO]])&gt;ScheduledNumberOfPayments,"",ROW()-ROW(PaymentSchedule[[#Headers],[PMT NO]])),"")</f>
        <v>335</v>
      </c>
      <c r="C354" s="5">
        <f>IF(PaymentSchedule[[#This Row],[PMT NO]]&lt;&gt;"",EOMONTH(LoanStartDate,ROW(PaymentSchedule[[#This Row],[PMT NO]])-ROW(PaymentSchedule[[#Headers],[PMT NO]])-2)+DAY(LoanStartDate),"")</f>
        <v>54240</v>
      </c>
      <c r="D354" s="7">
        <f>IF(PaymentSchedule[[#This Row],[PMT NO]]&lt;&gt;"",IF(ROW()-ROW(PaymentSchedule[[#Headers],[BEGINNING BALANCE]])=1,LoanAmount,INDEX([ENDING BALANCE],ROW()-ROW(PaymentSchedule[[#Headers],[BEGINNING BALANCE]])-1)),"")</f>
        <v>15035.538314244743</v>
      </c>
      <c r="E354" s="7">
        <f>IF(PaymentSchedule[[#This Row],[PMT NO]]&lt;&gt;"",ScheduledPayment,"")</f>
        <v>608.02237179106271</v>
      </c>
      <c r="F35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4" s="7">
        <f>IF(PaymentSchedule[[#This Row],[PMT NO]]&lt;&gt;"",PaymentSchedule[[#This Row],[TOTAL PAYMENT]]-PaymentSchedule[[#This Row],[INTEREST]],"")</f>
        <v>551.63910311264488</v>
      </c>
      <c r="I354" s="7">
        <f>IF(PaymentSchedule[[#This Row],[PMT NO]]&lt;&gt;"",PaymentSchedule[[#This Row],[BEGINNING BALANCE]]*(InterestRate/PaymentsPerYear),"")</f>
        <v>56.383268678417785</v>
      </c>
      <c r="J354" s="7">
        <f>IF(PaymentSchedule[[#This Row],[PMT NO]]&lt;&gt;"",IF(PaymentSchedule[[#This Row],[SCHEDULED PAYMENT]]+PaymentSchedule[[#This Row],[EXTRA PAYMENT]]&lt;=PaymentSchedule[[#This Row],[BEGINNING BALANCE]],PaymentSchedule[[#This Row],[BEGINNING BALANCE]]-PaymentSchedule[[#This Row],[PRINCIPAL]],0),"")</f>
        <v>14483.899211132099</v>
      </c>
      <c r="K354" s="7">
        <f>IF(PaymentSchedule[[#This Row],[PMT NO]]&lt;&gt;"",SUM(INDEX([INTEREST],1,1):PaymentSchedule[[#This Row],[INTEREST]]),"")</f>
        <v>98171.39376113817</v>
      </c>
    </row>
    <row r="355" spans="2:11">
      <c r="B355" s="4">
        <f>IF(LoanIsGood,IF(ROW()-ROW(PaymentSchedule[[#Headers],[PMT NO]])&gt;ScheduledNumberOfPayments,"",ROW()-ROW(PaymentSchedule[[#Headers],[PMT NO]])),"")</f>
        <v>336</v>
      </c>
      <c r="C355" s="5">
        <f>IF(PaymentSchedule[[#This Row],[PMT NO]]&lt;&gt;"",EOMONTH(LoanStartDate,ROW(PaymentSchedule[[#This Row],[PMT NO]])-ROW(PaymentSchedule[[#Headers],[PMT NO]])-2)+DAY(LoanStartDate),"")</f>
        <v>54271</v>
      </c>
      <c r="D355" s="7">
        <f>IF(PaymentSchedule[[#This Row],[PMT NO]]&lt;&gt;"",IF(ROW()-ROW(PaymentSchedule[[#Headers],[BEGINNING BALANCE]])=1,LoanAmount,INDEX([ENDING BALANCE],ROW()-ROW(PaymentSchedule[[#Headers],[BEGINNING BALANCE]])-1)),"")</f>
        <v>14483.899211132099</v>
      </c>
      <c r="E355" s="7">
        <f>IF(PaymentSchedule[[#This Row],[PMT NO]]&lt;&gt;"",ScheduledPayment,"")</f>
        <v>608.02237179106271</v>
      </c>
      <c r="F35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5" s="7">
        <f>IF(PaymentSchedule[[#This Row],[PMT NO]]&lt;&gt;"",PaymentSchedule[[#This Row],[TOTAL PAYMENT]]-PaymentSchedule[[#This Row],[INTEREST]],"")</f>
        <v>553.70774974931737</v>
      </c>
      <c r="I355" s="7">
        <f>IF(PaymentSchedule[[#This Row],[PMT NO]]&lt;&gt;"",PaymentSchedule[[#This Row],[BEGINNING BALANCE]]*(InterestRate/PaymentsPerYear),"")</f>
        <v>54.314622041745366</v>
      </c>
      <c r="J355" s="7">
        <f>IF(PaymentSchedule[[#This Row],[PMT NO]]&lt;&gt;"",IF(PaymentSchedule[[#This Row],[SCHEDULED PAYMENT]]+PaymentSchedule[[#This Row],[EXTRA PAYMENT]]&lt;=PaymentSchedule[[#This Row],[BEGINNING BALANCE]],PaymentSchedule[[#This Row],[BEGINNING BALANCE]]-PaymentSchedule[[#This Row],[PRINCIPAL]],0),"")</f>
        <v>13930.191461382781</v>
      </c>
      <c r="K355" s="7">
        <f>IF(PaymentSchedule[[#This Row],[PMT NO]]&lt;&gt;"",SUM(INDEX([INTEREST],1,1):PaymentSchedule[[#This Row],[INTEREST]]),"")</f>
        <v>98225.70838317991</v>
      </c>
    </row>
    <row r="356" spans="2:11">
      <c r="B356" s="4">
        <f>IF(LoanIsGood,IF(ROW()-ROW(PaymentSchedule[[#Headers],[PMT NO]])&gt;ScheduledNumberOfPayments,"",ROW()-ROW(PaymentSchedule[[#Headers],[PMT NO]])),"")</f>
        <v>337</v>
      </c>
      <c r="C356" s="5">
        <f>IF(PaymentSchedule[[#This Row],[PMT NO]]&lt;&gt;"",EOMONTH(LoanStartDate,ROW(PaymentSchedule[[#This Row],[PMT NO]])-ROW(PaymentSchedule[[#Headers],[PMT NO]])-2)+DAY(LoanStartDate),"")</f>
        <v>54302</v>
      </c>
      <c r="D356" s="7">
        <f>IF(PaymentSchedule[[#This Row],[PMT NO]]&lt;&gt;"",IF(ROW()-ROW(PaymentSchedule[[#Headers],[BEGINNING BALANCE]])=1,LoanAmount,INDEX([ENDING BALANCE],ROW()-ROW(PaymentSchedule[[#Headers],[BEGINNING BALANCE]])-1)),"")</f>
        <v>13930.191461382781</v>
      </c>
      <c r="E356" s="7">
        <f>IF(PaymentSchedule[[#This Row],[PMT NO]]&lt;&gt;"",ScheduledPayment,"")</f>
        <v>608.02237179106271</v>
      </c>
      <c r="F35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6" s="7">
        <f>IF(PaymentSchedule[[#This Row],[PMT NO]]&lt;&gt;"",PaymentSchedule[[#This Row],[TOTAL PAYMENT]]-PaymentSchedule[[#This Row],[INTEREST]],"")</f>
        <v>555.78415381087734</v>
      </c>
      <c r="I356" s="7">
        <f>IF(PaymentSchedule[[#This Row],[PMT NO]]&lt;&gt;"",PaymentSchedule[[#This Row],[BEGINNING BALANCE]]*(InterestRate/PaymentsPerYear),"")</f>
        <v>52.238217980185425</v>
      </c>
      <c r="J356" s="7">
        <f>IF(PaymentSchedule[[#This Row],[PMT NO]]&lt;&gt;"",IF(PaymentSchedule[[#This Row],[SCHEDULED PAYMENT]]+PaymentSchedule[[#This Row],[EXTRA PAYMENT]]&lt;=PaymentSchedule[[#This Row],[BEGINNING BALANCE]],PaymentSchedule[[#This Row],[BEGINNING BALANCE]]-PaymentSchedule[[#This Row],[PRINCIPAL]],0),"")</f>
        <v>13374.407307571904</v>
      </c>
      <c r="K356" s="7">
        <f>IF(PaymentSchedule[[#This Row],[PMT NO]]&lt;&gt;"",SUM(INDEX([INTEREST],1,1):PaymentSchedule[[#This Row],[INTEREST]]),"")</f>
        <v>98277.946601160089</v>
      </c>
    </row>
    <row r="357" spans="2:11">
      <c r="B357" s="4">
        <f>IF(LoanIsGood,IF(ROW()-ROW(PaymentSchedule[[#Headers],[PMT NO]])&gt;ScheduledNumberOfPayments,"",ROW()-ROW(PaymentSchedule[[#Headers],[PMT NO]])),"")</f>
        <v>338</v>
      </c>
      <c r="C357" s="5">
        <f>IF(PaymentSchedule[[#This Row],[PMT NO]]&lt;&gt;"",EOMONTH(LoanStartDate,ROW(PaymentSchedule[[#This Row],[PMT NO]])-ROW(PaymentSchedule[[#Headers],[PMT NO]])-2)+DAY(LoanStartDate),"")</f>
        <v>54332</v>
      </c>
      <c r="D357" s="7">
        <f>IF(PaymentSchedule[[#This Row],[PMT NO]]&lt;&gt;"",IF(ROW()-ROW(PaymentSchedule[[#Headers],[BEGINNING BALANCE]])=1,LoanAmount,INDEX([ENDING BALANCE],ROW()-ROW(PaymentSchedule[[#Headers],[BEGINNING BALANCE]])-1)),"")</f>
        <v>13374.407307571904</v>
      </c>
      <c r="E357" s="7">
        <f>IF(PaymentSchedule[[#This Row],[PMT NO]]&lt;&gt;"",ScheduledPayment,"")</f>
        <v>608.02237179106271</v>
      </c>
      <c r="F35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7" s="7">
        <f>IF(PaymentSchedule[[#This Row],[PMT NO]]&lt;&gt;"",PaymentSchedule[[#This Row],[TOTAL PAYMENT]]-PaymentSchedule[[#This Row],[INTEREST]],"")</f>
        <v>557.86834438766812</v>
      </c>
      <c r="I357" s="7">
        <f>IF(PaymentSchedule[[#This Row],[PMT NO]]&lt;&gt;"",PaymentSchedule[[#This Row],[BEGINNING BALANCE]]*(InterestRate/PaymentsPerYear),"")</f>
        <v>50.154027403394636</v>
      </c>
      <c r="J357" s="7">
        <f>IF(PaymentSchedule[[#This Row],[PMT NO]]&lt;&gt;"",IF(PaymentSchedule[[#This Row],[SCHEDULED PAYMENT]]+PaymentSchedule[[#This Row],[EXTRA PAYMENT]]&lt;=PaymentSchedule[[#This Row],[BEGINNING BALANCE]],PaymentSchedule[[#This Row],[BEGINNING BALANCE]]-PaymentSchedule[[#This Row],[PRINCIPAL]],0),"")</f>
        <v>12816.538963184235</v>
      </c>
      <c r="K357" s="7">
        <f>IF(PaymentSchedule[[#This Row],[PMT NO]]&lt;&gt;"",SUM(INDEX([INTEREST],1,1):PaymentSchedule[[#This Row],[INTEREST]]),"")</f>
        <v>98328.100628563479</v>
      </c>
    </row>
    <row r="358" spans="2:11">
      <c r="B358" s="4">
        <f>IF(LoanIsGood,IF(ROW()-ROW(PaymentSchedule[[#Headers],[PMT NO]])&gt;ScheduledNumberOfPayments,"",ROW()-ROW(PaymentSchedule[[#Headers],[PMT NO]])),"")</f>
        <v>339</v>
      </c>
      <c r="C358" s="5">
        <f>IF(PaymentSchedule[[#This Row],[PMT NO]]&lt;&gt;"",EOMONTH(LoanStartDate,ROW(PaymentSchedule[[#This Row],[PMT NO]])-ROW(PaymentSchedule[[#Headers],[PMT NO]])-2)+DAY(LoanStartDate),"")</f>
        <v>54363</v>
      </c>
      <c r="D358" s="7">
        <f>IF(PaymentSchedule[[#This Row],[PMT NO]]&lt;&gt;"",IF(ROW()-ROW(PaymentSchedule[[#Headers],[BEGINNING BALANCE]])=1,LoanAmount,INDEX([ENDING BALANCE],ROW()-ROW(PaymentSchedule[[#Headers],[BEGINNING BALANCE]])-1)),"")</f>
        <v>12816.538963184235</v>
      </c>
      <c r="E358" s="7">
        <f>IF(PaymentSchedule[[#This Row],[PMT NO]]&lt;&gt;"",ScheduledPayment,"")</f>
        <v>608.02237179106271</v>
      </c>
      <c r="F35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8" s="7">
        <f>IF(PaymentSchedule[[#This Row],[PMT NO]]&lt;&gt;"",PaymentSchedule[[#This Row],[TOTAL PAYMENT]]-PaymentSchedule[[#This Row],[INTEREST]],"")</f>
        <v>559.9603506791218</v>
      </c>
      <c r="I358" s="7">
        <f>IF(PaymentSchedule[[#This Row],[PMT NO]]&lt;&gt;"",PaymentSchedule[[#This Row],[BEGINNING BALANCE]]*(InterestRate/PaymentsPerYear),"")</f>
        <v>48.062021111940879</v>
      </c>
      <c r="J358" s="7">
        <f>IF(PaymentSchedule[[#This Row],[PMT NO]]&lt;&gt;"",IF(PaymentSchedule[[#This Row],[SCHEDULED PAYMENT]]+PaymentSchedule[[#This Row],[EXTRA PAYMENT]]&lt;=PaymentSchedule[[#This Row],[BEGINNING BALANCE]],PaymentSchedule[[#This Row],[BEGINNING BALANCE]]-PaymentSchedule[[#This Row],[PRINCIPAL]],0),"")</f>
        <v>12256.578612505113</v>
      </c>
      <c r="K358" s="7">
        <f>IF(PaymentSchedule[[#This Row],[PMT NO]]&lt;&gt;"",SUM(INDEX([INTEREST],1,1):PaymentSchedule[[#This Row],[INTEREST]]),"")</f>
        <v>98376.162649675418</v>
      </c>
    </row>
    <row r="359" spans="2:11">
      <c r="B359" s="4">
        <f>IF(LoanIsGood,IF(ROW()-ROW(PaymentSchedule[[#Headers],[PMT NO]])&gt;ScheduledNumberOfPayments,"",ROW()-ROW(PaymentSchedule[[#Headers],[PMT NO]])),"")</f>
        <v>340</v>
      </c>
      <c r="C359" s="5">
        <f>IF(PaymentSchedule[[#This Row],[PMT NO]]&lt;&gt;"",EOMONTH(LoanStartDate,ROW(PaymentSchedule[[#This Row],[PMT NO]])-ROW(PaymentSchedule[[#Headers],[PMT NO]])-2)+DAY(LoanStartDate),"")</f>
        <v>54393</v>
      </c>
      <c r="D359" s="7">
        <f>IF(PaymentSchedule[[#This Row],[PMT NO]]&lt;&gt;"",IF(ROW()-ROW(PaymentSchedule[[#Headers],[BEGINNING BALANCE]])=1,LoanAmount,INDEX([ENDING BALANCE],ROW()-ROW(PaymentSchedule[[#Headers],[BEGINNING BALANCE]])-1)),"")</f>
        <v>12256.578612505113</v>
      </c>
      <c r="E359" s="7">
        <f>IF(PaymentSchedule[[#This Row],[PMT NO]]&lt;&gt;"",ScheduledPayment,"")</f>
        <v>608.02237179106271</v>
      </c>
      <c r="F35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5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59" s="7">
        <f>IF(PaymentSchedule[[#This Row],[PMT NO]]&lt;&gt;"",PaymentSchedule[[#This Row],[TOTAL PAYMENT]]-PaymentSchedule[[#This Row],[INTEREST]],"")</f>
        <v>562.06020199416855</v>
      </c>
      <c r="I359" s="7">
        <f>IF(PaymentSchedule[[#This Row],[PMT NO]]&lt;&gt;"",PaymentSchedule[[#This Row],[BEGINNING BALANCE]]*(InterestRate/PaymentsPerYear),"")</f>
        <v>45.962169796894173</v>
      </c>
      <c r="J359" s="7">
        <f>IF(PaymentSchedule[[#This Row],[PMT NO]]&lt;&gt;"",IF(PaymentSchedule[[#This Row],[SCHEDULED PAYMENT]]+PaymentSchedule[[#This Row],[EXTRA PAYMENT]]&lt;=PaymentSchedule[[#This Row],[BEGINNING BALANCE]],PaymentSchedule[[#This Row],[BEGINNING BALANCE]]-PaymentSchedule[[#This Row],[PRINCIPAL]],0),"")</f>
        <v>11694.518410510944</v>
      </c>
      <c r="K359" s="7">
        <f>IF(PaymentSchedule[[#This Row],[PMT NO]]&lt;&gt;"",SUM(INDEX([INTEREST],1,1):PaymentSchedule[[#This Row],[INTEREST]]),"")</f>
        <v>98422.124819472316</v>
      </c>
    </row>
    <row r="360" spans="2:11">
      <c r="B360" s="4">
        <f>IF(LoanIsGood,IF(ROW()-ROW(PaymentSchedule[[#Headers],[PMT NO]])&gt;ScheduledNumberOfPayments,"",ROW()-ROW(PaymentSchedule[[#Headers],[PMT NO]])),"")</f>
        <v>341</v>
      </c>
      <c r="C360" s="5">
        <f>IF(PaymentSchedule[[#This Row],[PMT NO]]&lt;&gt;"",EOMONTH(LoanStartDate,ROW(PaymentSchedule[[#This Row],[PMT NO]])-ROW(PaymentSchedule[[#Headers],[PMT NO]])-2)+DAY(LoanStartDate),"")</f>
        <v>54424</v>
      </c>
      <c r="D360" s="7">
        <f>IF(PaymentSchedule[[#This Row],[PMT NO]]&lt;&gt;"",IF(ROW()-ROW(PaymentSchedule[[#Headers],[BEGINNING BALANCE]])=1,LoanAmount,INDEX([ENDING BALANCE],ROW()-ROW(PaymentSchedule[[#Headers],[BEGINNING BALANCE]])-1)),"")</f>
        <v>11694.518410510944</v>
      </c>
      <c r="E360" s="7">
        <f>IF(PaymentSchedule[[#This Row],[PMT NO]]&lt;&gt;"",ScheduledPayment,"")</f>
        <v>608.02237179106271</v>
      </c>
      <c r="F36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0" s="7">
        <f>IF(PaymentSchedule[[#This Row],[PMT NO]]&lt;&gt;"",PaymentSchedule[[#This Row],[TOTAL PAYMENT]]-PaymentSchedule[[#This Row],[INTEREST]],"")</f>
        <v>564.16792775164663</v>
      </c>
      <c r="I360" s="7">
        <f>IF(PaymentSchedule[[#This Row],[PMT NO]]&lt;&gt;"",PaymentSchedule[[#This Row],[BEGINNING BALANCE]]*(InterestRate/PaymentsPerYear),"")</f>
        <v>43.854444039416038</v>
      </c>
      <c r="J360" s="7">
        <f>IF(PaymentSchedule[[#This Row],[PMT NO]]&lt;&gt;"",IF(PaymentSchedule[[#This Row],[SCHEDULED PAYMENT]]+PaymentSchedule[[#This Row],[EXTRA PAYMENT]]&lt;=PaymentSchedule[[#This Row],[BEGINNING BALANCE]],PaymentSchedule[[#This Row],[BEGINNING BALANCE]]-PaymentSchedule[[#This Row],[PRINCIPAL]],0),"")</f>
        <v>11130.350482759297</v>
      </c>
      <c r="K360" s="7">
        <f>IF(PaymentSchedule[[#This Row],[PMT NO]]&lt;&gt;"",SUM(INDEX([INTEREST],1,1):PaymentSchedule[[#This Row],[INTEREST]]),"")</f>
        <v>98465.979263511734</v>
      </c>
    </row>
    <row r="361" spans="2:11">
      <c r="B361" s="4">
        <f>IF(LoanIsGood,IF(ROW()-ROW(PaymentSchedule[[#Headers],[PMT NO]])&gt;ScheduledNumberOfPayments,"",ROW()-ROW(PaymentSchedule[[#Headers],[PMT NO]])),"")</f>
        <v>342</v>
      </c>
      <c r="C361" s="5">
        <f>IF(PaymentSchedule[[#This Row],[PMT NO]]&lt;&gt;"",EOMONTH(LoanStartDate,ROW(PaymentSchedule[[#This Row],[PMT NO]])-ROW(PaymentSchedule[[#Headers],[PMT NO]])-2)+DAY(LoanStartDate),"")</f>
        <v>54455</v>
      </c>
      <c r="D361" s="7">
        <f>IF(PaymentSchedule[[#This Row],[PMT NO]]&lt;&gt;"",IF(ROW()-ROW(PaymentSchedule[[#Headers],[BEGINNING BALANCE]])=1,LoanAmount,INDEX([ENDING BALANCE],ROW()-ROW(PaymentSchedule[[#Headers],[BEGINNING BALANCE]])-1)),"")</f>
        <v>11130.350482759297</v>
      </c>
      <c r="E361" s="7">
        <f>IF(PaymentSchedule[[#This Row],[PMT NO]]&lt;&gt;"",ScheduledPayment,"")</f>
        <v>608.02237179106271</v>
      </c>
      <c r="F36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1" s="7">
        <f>IF(PaymentSchedule[[#This Row],[PMT NO]]&lt;&gt;"",PaymentSchedule[[#This Row],[TOTAL PAYMENT]]-PaymentSchedule[[#This Row],[INTEREST]],"")</f>
        <v>566.28355748071533</v>
      </c>
      <c r="I361" s="7">
        <f>IF(PaymentSchedule[[#This Row],[PMT NO]]&lt;&gt;"",PaymentSchedule[[#This Row],[BEGINNING BALANCE]]*(InterestRate/PaymentsPerYear),"")</f>
        <v>41.738814310347365</v>
      </c>
      <c r="J361" s="7">
        <f>IF(PaymentSchedule[[#This Row],[PMT NO]]&lt;&gt;"",IF(PaymentSchedule[[#This Row],[SCHEDULED PAYMENT]]+PaymentSchedule[[#This Row],[EXTRA PAYMENT]]&lt;=PaymentSchedule[[#This Row],[BEGINNING BALANCE]],PaymentSchedule[[#This Row],[BEGINNING BALANCE]]-PaymentSchedule[[#This Row],[PRINCIPAL]],0),"")</f>
        <v>10564.066925278581</v>
      </c>
      <c r="K361" s="7">
        <f>IF(PaymentSchedule[[#This Row],[PMT NO]]&lt;&gt;"",SUM(INDEX([INTEREST],1,1):PaymentSchedule[[#This Row],[INTEREST]]),"")</f>
        <v>98507.718077822079</v>
      </c>
    </row>
    <row r="362" spans="2:11">
      <c r="B362" s="4">
        <f>IF(LoanIsGood,IF(ROW()-ROW(PaymentSchedule[[#Headers],[PMT NO]])&gt;ScheduledNumberOfPayments,"",ROW()-ROW(PaymentSchedule[[#Headers],[PMT NO]])),"")</f>
        <v>343</v>
      </c>
      <c r="C362" s="5">
        <f>IF(PaymentSchedule[[#This Row],[PMT NO]]&lt;&gt;"",EOMONTH(LoanStartDate,ROW(PaymentSchedule[[#This Row],[PMT NO]])-ROW(PaymentSchedule[[#Headers],[PMT NO]])-2)+DAY(LoanStartDate),"")</f>
        <v>54483</v>
      </c>
      <c r="D362" s="7">
        <f>IF(PaymentSchedule[[#This Row],[PMT NO]]&lt;&gt;"",IF(ROW()-ROW(PaymentSchedule[[#Headers],[BEGINNING BALANCE]])=1,LoanAmount,INDEX([ENDING BALANCE],ROW()-ROW(PaymentSchedule[[#Headers],[BEGINNING BALANCE]])-1)),"")</f>
        <v>10564.066925278581</v>
      </c>
      <c r="E362" s="7">
        <f>IF(PaymentSchedule[[#This Row],[PMT NO]]&lt;&gt;"",ScheduledPayment,"")</f>
        <v>608.02237179106271</v>
      </c>
      <c r="F36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2" s="7">
        <f>IF(PaymentSchedule[[#This Row],[PMT NO]]&lt;&gt;"",PaymentSchedule[[#This Row],[TOTAL PAYMENT]]-PaymentSchedule[[#This Row],[INTEREST]],"")</f>
        <v>568.40712082126799</v>
      </c>
      <c r="I362" s="7">
        <f>IF(PaymentSchedule[[#This Row],[PMT NO]]&lt;&gt;"",PaymentSchedule[[#This Row],[BEGINNING BALANCE]]*(InterestRate/PaymentsPerYear),"")</f>
        <v>39.61525096979468</v>
      </c>
      <c r="J362" s="7">
        <f>IF(PaymentSchedule[[#This Row],[PMT NO]]&lt;&gt;"",IF(PaymentSchedule[[#This Row],[SCHEDULED PAYMENT]]+PaymentSchedule[[#This Row],[EXTRA PAYMENT]]&lt;=PaymentSchedule[[#This Row],[BEGINNING BALANCE]],PaymentSchedule[[#This Row],[BEGINNING BALANCE]]-PaymentSchedule[[#This Row],[PRINCIPAL]],0),"")</f>
        <v>9995.6598044573129</v>
      </c>
      <c r="K362" s="7">
        <f>IF(PaymentSchedule[[#This Row],[PMT NO]]&lt;&gt;"",SUM(INDEX([INTEREST],1,1):PaymentSchedule[[#This Row],[INTEREST]]),"")</f>
        <v>98547.333328791879</v>
      </c>
    </row>
    <row r="363" spans="2:11">
      <c r="B363" s="4">
        <f>IF(LoanIsGood,IF(ROW()-ROW(PaymentSchedule[[#Headers],[PMT NO]])&gt;ScheduledNumberOfPayments,"",ROW()-ROW(PaymentSchedule[[#Headers],[PMT NO]])),"")</f>
        <v>344</v>
      </c>
      <c r="C363" s="5">
        <f>IF(PaymentSchedule[[#This Row],[PMT NO]]&lt;&gt;"",EOMONTH(LoanStartDate,ROW(PaymentSchedule[[#This Row],[PMT NO]])-ROW(PaymentSchedule[[#Headers],[PMT NO]])-2)+DAY(LoanStartDate),"")</f>
        <v>54514</v>
      </c>
      <c r="D363" s="7">
        <f>IF(PaymentSchedule[[#This Row],[PMT NO]]&lt;&gt;"",IF(ROW()-ROW(PaymentSchedule[[#Headers],[BEGINNING BALANCE]])=1,LoanAmount,INDEX([ENDING BALANCE],ROW()-ROW(PaymentSchedule[[#Headers],[BEGINNING BALANCE]])-1)),"")</f>
        <v>9995.6598044573129</v>
      </c>
      <c r="E363" s="7">
        <f>IF(PaymentSchedule[[#This Row],[PMT NO]]&lt;&gt;"",ScheduledPayment,"")</f>
        <v>608.02237179106271</v>
      </c>
      <c r="F36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3" s="7">
        <f>IF(PaymentSchedule[[#This Row],[PMT NO]]&lt;&gt;"",PaymentSchedule[[#This Row],[TOTAL PAYMENT]]-PaymentSchedule[[#This Row],[INTEREST]],"")</f>
        <v>570.53864752434777</v>
      </c>
      <c r="I363" s="7">
        <f>IF(PaymentSchedule[[#This Row],[PMT NO]]&lt;&gt;"",PaymentSchedule[[#This Row],[BEGINNING BALANCE]]*(InterestRate/PaymentsPerYear),"")</f>
        <v>37.483724266714923</v>
      </c>
      <c r="J363" s="7">
        <f>IF(PaymentSchedule[[#This Row],[PMT NO]]&lt;&gt;"",IF(PaymentSchedule[[#This Row],[SCHEDULED PAYMENT]]+PaymentSchedule[[#This Row],[EXTRA PAYMENT]]&lt;=PaymentSchedule[[#This Row],[BEGINNING BALANCE]],PaymentSchedule[[#This Row],[BEGINNING BALANCE]]-PaymentSchedule[[#This Row],[PRINCIPAL]],0),"")</f>
        <v>9425.1211569329644</v>
      </c>
      <c r="K363" s="7">
        <f>IF(PaymentSchedule[[#This Row],[PMT NO]]&lt;&gt;"",SUM(INDEX([INTEREST],1,1):PaymentSchedule[[#This Row],[INTEREST]]),"")</f>
        <v>98584.817053058592</v>
      </c>
    </row>
    <row r="364" spans="2:11">
      <c r="B364" s="4">
        <f>IF(LoanIsGood,IF(ROW()-ROW(PaymentSchedule[[#Headers],[PMT NO]])&gt;ScheduledNumberOfPayments,"",ROW()-ROW(PaymentSchedule[[#Headers],[PMT NO]])),"")</f>
        <v>345</v>
      </c>
      <c r="C364" s="5">
        <f>IF(PaymentSchedule[[#This Row],[PMT NO]]&lt;&gt;"",EOMONTH(LoanStartDate,ROW(PaymentSchedule[[#This Row],[PMT NO]])-ROW(PaymentSchedule[[#Headers],[PMT NO]])-2)+DAY(LoanStartDate),"")</f>
        <v>54544</v>
      </c>
      <c r="D364" s="7">
        <f>IF(PaymentSchedule[[#This Row],[PMT NO]]&lt;&gt;"",IF(ROW()-ROW(PaymentSchedule[[#Headers],[BEGINNING BALANCE]])=1,LoanAmount,INDEX([ENDING BALANCE],ROW()-ROW(PaymentSchedule[[#Headers],[BEGINNING BALANCE]])-1)),"")</f>
        <v>9425.1211569329644</v>
      </c>
      <c r="E364" s="7">
        <f>IF(PaymentSchedule[[#This Row],[PMT NO]]&lt;&gt;"",ScheduledPayment,"")</f>
        <v>608.02237179106271</v>
      </c>
      <c r="F36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4" s="7">
        <f>IF(PaymentSchedule[[#This Row],[PMT NO]]&lt;&gt;"",PaymentSchedule[[#This Row],[TOTAL PAYMENT]]-PaymentSchedule[[#This Row],[INTEREST]],"")</f>
        <v>572.67816745256414</v>
      </c>
      <c r="I364" s="7">
        <f>IF(PaymentSchedule[[#This Row],[PMT NO]]&lt;&gt;"",PaymentSchedule[[#This Row],[BEGINNING BALANCE]]*(InterestRate/PaymentsPerYear),"")</f>
        <v>35.344204338498614</v>
      </c>
      <c r="J364" s="7">
        <f>IF(PaymentSchedule[[#This Row],[PMT NO]]&lt;&gt;"",IF(PaymentSchedule[[#This Row],[SCHEDULED PAYMENT]]+PaymentSchedule[[#This Row],[EXTRA PAYMENT]]&lt;=PaymentSchedule[[#This Row],[BEGINNING BALANCE]],PaymentSchedule[[#This Row],[BEGINNING BALANCE]]-PaymentSchedule[[#This Row],[PRINCIPAL]],0),"")</f>
        <v>8852.4429894803998</v>
      </c>
      <c r="K364" s="7">
        <f>IF(PaymentSchedule[[#This Row],[PMT NO]]&lt;&gt;"",SUM(INDEX([INTEREST],1,1):PaymentSchedule[[#This Row],[INTEREST]]),"")</f>
        <v>98620.161257397092</v>
      </c>
    </row>
    <row r="365" spans="2:11">
      <c r="B365" s="4">
        <f>IF(LoanIsGood,IF(ROW()-ROW(PaymentSchedule[[#Headers],[PMT NO]])&gt;ScheduledNumberOfPayments,"",ROW()-ROW(PaymentSchedule[[#Headers],[PMT NO]])),"")</f>
        <v>346</v>
      </c>
      <c r="C365" s="5">
        <f>IF(PaymentSchedule[[#This Row],[PMT NO]]&lt;&gt;"",EOMONTH(LoanStartDate,ROW(PaymentSchedule[[#This Row],[PMT NO]])-ROW(PaymentSchedule[[#Headers],[PMT NO]])-2)+DAY(LoanStartDate),"")</f>
        <v>54575</v>
      </c>
      <c r="D365" s="7">
        <f>IF(PaymentSchedule[[#This Row],[PMT NO]]&lt;&gt;"",IF(ROW()-ROW(PaymentSchedule[[#Headers],[BEGINNING BALANCE]])=1,LoanAmount,INDEX([ENDING BALANCE],ROW()-ROW(PaymentSchedule[[#Headers],[BEGINNING BALANCE]])-1)),"")</f>
        <v>8852.4429894803998</v>
      </c>
      <c r="E365" s="7">
        <f>IF(PaymentSchedule[[#This Row],[PMT NO]]&lt;&gt;"",ScheduledPayment,"")</f>
        <v>608.02237179106271</v>
      </c>
      <c r="F36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5" s="7">
        <f>IF(PaymentSchedule[[#This Row],[PMT NO]]&lt;&gt;"",PaymentSchedule[[#This Row],[TOTAL PAYMENT]]-PaymentSchedule[[#This Row],[INTEREST]],"")</f>
        <v>574.82571058051121</v>
      </c>
      <c r="I365" s="7">
        <f>IF(PaymentSchedule[[#This Row],[PMT NO]]&lt;&gt;"",PaymentSchedule[[#This Row],[BEGINNING BALANCE]]*(InterestRate/PaymentsPerYear),"")</f>
        <v>33.196661210551497</v>
      </c>
      <c r="J365" s="7">
        <f>IF(PaymentSchedule[[#This Row],[PMT NO]]&lt;&gt;"",IF(PaymentSchedule[[#This Row],[SCHEDULED PAYMENT]]+PaymentSchedule[[#This Row],[EXTRA PAYMENT]]&lt;=PaymentSchedule[[#This Row],[BEGINNING BALANCE]],PaymentSchedule[[#This Row],[BEGINNING BALANCE]]-PaymentSchedule[[#This Row],[PRINCIPAL]],0),"")</f>
        <v>8277.6172788998883</v>
      </c>
      <c r="K365" s="7">
        <f>IF(PaymentSchedule[[#This Row],[PMT NO]]&lt;&gt;"",SUM(INDEX([INTEREST],1,1):PaymentSchedule[[#This Row],[INTEREST]]),"")</f>
        <v>98653.357918607639</v>
      </c>
    </row>
    <row r="366" spans="2:11">
      <c r="B366" s="4">
        <f>IF(LoanIsGood,IF(ROW()-ROW(PaymentSchedule[[#Headers],[PMT NO]])&gt;ScheduledNumberOfPayments,"",ROW()-ROW(PaymentSchedule[[#Headers],[PMT NO]])),"")</f>
        <v>347</v>
      </c>
      <c r="C366" s="5">
        <f>IF(PaymentSchedule[[#This Row],[PMT NO]]&lt;&gt;"",EOMONTH(LoanStartDate,ROW(PaymentSchedule[[#This Row],[PMT NO]])-ROW(PaymentSchedule[[#Headers],[PMT NO]])-2)+DAY(LoanStartDate),"")</f>
        <v>54605</v>
      </c>
      <c r="D366" s="7">
        <f>IF(PaymentSchedule[[#This Row],[PMT NO]]&lt;&gt;"",IF(ROW()-ROW(PaymentSchedule[[#Headers],[BEGINNING BALANCE]])=1,LoanAmount,INDEX([ENDING BALANCE],ROW()-ROW(PaymentSchedule[[#Headers],[BEGINNING BALANCE]])-1)),"")</f>
        <v>8277.6172788998883</v>
      </c>
      <c r="E366" s="7">
        <f>IF(PaymentSchedule[[#This Row],[PMT NO]]&lt;&gt;"",ScheduledPayment,"")</f>
        <v>608.02237179106271</v>
      </c>
      <c r="F36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6" s="7">
        <f>IF(PaymentSchedule[[#This Row],[PMT NO]]&lt;&gt;"",PaymentSchedule[[#This Row],[TOTAL PAYMENT]]-PaymentSchedule[[#This Row],[INTEREST]],"")</f>
        <v>576.98130699518811</v>
      </c>
      <c r="I366" s="7">
        <f>IF(PaymentSchedule[[#This Row],[PMT NO]]&lt;&gt;"",PaymentSchedule[[#This Row],[BEGINNING BALANCE]]*(InterestRate/PaymentsPerYear),"")</f>
        <v>31.041064795874579</v>
      </c>
      <c r="J366" s="7">
        <f>IF(PaymentSchedule[[#This Row],[PMT NO]]&lt;&gt;"",IF(PaymentSchedule[[#This Row],[SCHEDULED PAYMENT]]+PaymentSchedule[[#This Row],[EXTRA PAYMENT]]&lt;=PaymentSchedule[[#This Row],[BEGINNING BALANCE]],PaymentSchedule[[#This Row],[BEGINNING BALANCE]]-PaymentSchedule[[#This Row],[PRINCIPAL]],0),"")</f>
        <v>7700.6359719047005</v>
      </c>
      <c r="K366" s="7">
        <f>IF(PaymentSchedule[[#This Row],[PMT NO]]&lt;&gt;"",SUM(INDEX([INTEREST],1,1):PaymentSchedule[[#This Row],[INTEREST]]),"")</f>
        <v>98684.398983403516</v>
      </c>
    </row>
    <row r="367" spans="2:11">
      <c r="B367" s="4">
        <f>IF(LoanIsGood,IF(ROW()-ROW(PaymentSchedule[[#Headers],[PMT NO]])&gt;ScheduledNumberOfPayments,"",ROW()-ROW(PaymentSchedule[[#Headers],[PMT NO]])),"")</f>
        <v>348</v>
      </c>
      <c r="C367" s="5">
        <f>IF(PaymentSchedule[[#This Row],[PMT NO]]&lt;&gt;"",EOMONTH(LoanStartDate,ROW(PaymentSchedule[[#This Row],[PMT NO]])-ROW(PaymentSchedule[[#Headers],[PMT NO]])-2)+DAY(LoanStartDate),"")</f>
        <v>54636</v>
      </c>
      <c r="D367" s="7">
        <f>IF(PaymentSchedule[[#This Row],[PMT NO]]&lt;&gt;"",IF(ROW()-ROW(PaymentSchedule[[#Headers],[BEGINNING BALANCE]])=1,LoanAmount,INDEX([ENDING BALANCE],ROW()-ROW(PaymentSchedule[[#Headers],[BEGINNING BALANCE]])-1)),"")</f>
        <v>7700.6359719047005</v>
      </c>
      <c r="E367" s="7">
        <f>IF(PaymentSchedule[[#This Row],[PMT NO]]&lt;&gt;"",ScheduledPayment,"")</f>
        <v>608.02237179106271</v>
      </c>
      <c r="F36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7" s="7">
        <f>IF(PaymentSchedule[[#This Row],[PMT NO]]&lt;&gt;"",PaymentSchedule[[#This Row],[TOTAL PAYMENT]]-PaymentSchedule[[#This Row],[INTEREST]],"")</f>
        <v>579.14498689642005</v>
      </c>
      <c r="I367" s="7">
        <f>IF(PaymentSchedule[[#This Row],[PMT NO]]&lt;&gt;"",PaymentSchedule[[#This Row],[BEGINNING BALANCE]]*(InterestRate/PaymentsPerYear),"")</f>
        <v>28.877384894642624</v>
      </c>
      <c r="J367" s="7">
        <f>IF(PaymentSchedule[[#This Row],[PMT NO]]&lt;&gt;"",IF(PaymentSchedule[[#This Row],[SCHEDULED PAYMENT]]+PaymentSchedule[[#This Row],[EXTRA PAYMENT]]&lt;=PaymentSchedule[[#This Row],[BEGINNING BALANCE]],PaymentSchedule[[#This Row],[BEGINNING BALANCE]]-PaymentSchedule[[#This Row],[PRINCIPAL]],0),"")</f>
        <v>7121.4909850082804</v>
      </c>
      <c r="K367" s="7">
        <f>IF(PaymentSchedule[[#This Row],[PMT NO]]&lt;&gt;"",SUM(INDEX([INTEREST],1,1):PaymentSchedule[[#This Row],[INTEREST]]),"")</f>
        <v>98713.27636829816</v>
      </c>
    </row>
    <row r="368" spans="2:11">
      <c r="B368" s="4">
        <f>IF(LoanIsGood,IF(ROW()-ROW(PaymentSchedule[[#Headers],[PMT NO]])&gt;ScheduledNumberOfPayments,"",ROW()-ROW(PaymentSchedule[[#Headers],[PMT NO]])),"")</f>
        <v>349</v>
      </c>
      <c r="C368" s="5">
        <f>IF(PaymentSchedule[[#This Row],[PMT NO]]&lt;&gt;"",EOMONTH(LoanStartDate,ROW(PaymentSchedule[[#This Row],[PMT NO]])-ROW(PaymentSchedule[[#Headers],[PMT NO]])-2)+DAY(LoanStartDate),"")</f>
        <v>54667</v>
      </c>
      <c r="D368" s="7">
        <f>IF(PaymentSchedule[[#This Row],[PMT NO]]&lt;&gt;"",IF(ROW()-ROW(PaymentSchedule[[#Headers],[BEGINNING BALANCE]])=1,LoanAmount,INDEX([ENDING BALANCE],ROW()-ROW(PaymentSchedule[[#Headers],[BEGINNING BALANCE]])-1)),"")</f>
        <v>7121.4909850082804</v>
      </c>
      <c r="E368" s="7">
        <f>IF(PaymentSchedule[[#This Row],[PMT NO]]&lt;&gt;"",ScheduledPayment,"")</f>
        <v>608.02237179106271</v>
      </c>
      <c r="F36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8" s="7">
        <f>IF(PaymentSchedule[[#This Row],[PMT NO]]&lt;&gt;"",PaymentSchedule[[#This Row],[TOTAL PAYMENT]]-PaymentSchedule[[#This Row],[INTEREST]],"")</f>
        <v>581.31678059728165</v>
      </c>
      <c r="I368" s="7">
        <f>IF(PaymentSchedule[[#This Row],[PMT NO]]&lt;&gt;"",PaymentSchedule[[#This Row],[BEGINNING BALANCE]]*(InterestRate/PaymentsPerYear),"")</f>
        <v>26.70559119378105</v>
      </c>
      <c r="J368" s="7">
        <f>IF(PaymentSchedule[[#This Row],[PMT NO]]&lt;&gt;"",IF(PaymentSchedule[[#This Row],[SCHEDULED PAYMENT]]+PaymentSchedule[[#This Row],[EXTRA PAYMENT]]&lt;=PaymentSchedule[[#This Row],[BEGINNING BALANCE]],PaymentSchedule[[#This Row],[BEGINNING BALANCE]]-PaymentSchedule[[#This Row],[PRINCIPAL]],0),"")</f>
        <v>6540.1742044109988</v>
      </c>
      <c r="K368" s="7">
        <f>IF(PaymentSchedule[[#This Row],[PMT NO]]&lt;&gt;"",SUM(INDEX([INTEREST],1,1):PaymentSchedule[[#This Row],[INTEREST]]),"")</f>
        <v>98739.981959491939</v>
      </c>
    </row>
    <row r="369" spans="2:11">
      <c r="B369" s="4">
        <f>IF(LoanIsGood,IF(ROW()-ROW(PaymentSchedule[[#Headers],[PMT NO]])&gt;ScheduledNumberOfPayments,"",ROW()-ROW(PaymentSchedule[[#Headers],[PMT NO]])),"")</f>
        <v>350</v>
      </c>
      <c r="C369" s="5">
        <f>IF(PaymentSchedule[[#This Row],[PMT NO]]&lt;&gt;"",EOMONTH(LoanStartDate,ROW(PaymentSchedule[[#This Row],[PMT NO]])-ROW(PaymentSchedule[[#Headers],[PMT NO]])-2)+DAY(LoanStartDate),"")</f>
        <v>54697</v>
      </c>
      <c r="D369" s="7">
        <f>IF(PaymentSchedule[[#This Row],[PMT NO]]&lt;&gt;"",IF(ROW()-ROW(PaymentSchedule[[#Headers],[BEGINNING BALANCE]])=1,LoanAmount,INDEX([ENDING BALANCE],ROW()-ROW(PaymentSchedule[[#Headers],[BEGINNING BALANCE]])-1)),"")</f>
        <v>6540.1742044109988</v>
      </c>
      <c r="E369" s="7">
        <f>IF(PaymentSchedule[[#This Row],[PMT NO]]&lt;&gt;"",ScheduledPayment,"")</f>
        <v>608.02237179106271</v>
      </c>
      <c r="F36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6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69" s="7">
        <f>IF(PaymentSchedule[[#This Row],[PMT NO]]&lt;&gt;"",PaymentSchedule[[#This Row],[TOTAL PAYMENT]]-PaymentSchedule[[#This Row],[INTEREST]],"")</f>
        <v>583.4967185245215</v>
      </c>
      <c r="I369" s="7">
        <f>IF(PaymentSchedule[[#This Row],[PMT NO]]&lt;&gt;"",PaymentSchedule[[#This Row],[BEGINNING BALANCE]]*(InterestRate/PaymentsPerYear),"")</f>
        <v>24.525653266541244</v>
      </c>
      <c r="J369" s="7">
        <f>IF(PaymentSchedule[[#This Row],[PMT NO]]&lt;&gt;"",IF(PaymentSchedule[[#This Row],[SCHEDULED PAYMENT]]+PaymentSchedule[[#This Row],[EXTRA PAYMENT]]&lt;=PaymentSchedule[[#This Row],[BEGINNING BALANCE]],PaymentSchedule[[#This Row],[BEGINNING BALANCE]]-PaymentSchedule[[#This Row],[PRINCIPAL]],0),"")</f>
        <v>5956.6774858864774</v>
      </c>
      <c r="K369" s="7">
        <f>IF(PaymentSchedule[[#This Row],[PMT NO]]&lt;&gt;"",SUM(INDEX([INTEREST],1,1):PaymentSchedule[[#This Row],[INTEREST]]),"")</f>
        <v>98764.507612758476</v>
      </c>
    </row>
    <row r="370" spans="2:11">
      <c r="B370" s="4">
        <f>IF(LoanIsGood,IF(ROW()-ROW(PaymentSchedule[[#Headers],[PMT NO]])&gt;ScheduledNumberOfPayments,"",ROW()-ROW(PaymentSchedule[[#Headers],[PMT NO]])),"")</f>
        <v>351</v>
      </c>
      <c r="C370" s="5">
        <f>IF(PaymentSchedule[[#This Row],[PMT NO]]&lt;&gt;"",EOMONTH(LoanStartDate,ROW(PaymentSchedule[[#This Row],[PMT NO]])-ROW(PaymentSchedule[[#Headers],[PMT NO]])-2)+DAY(LoanStartDate),"")</f>
        <v>54728</v>
      </c>
      <c r="D370" s="7">
        <f>IF(PaymentSchedule[[#This Row],[PMT NO]]&lt;&gt;"",IF(ROW()-ROW(PaymentSchedule[[#Headers],[BEGINNING BALANCE]])=1,LoanAmount,INDEX([ENDING BALANCE],ROW()-ROW(PaymentSchedule[[#Headers],[BEGINNING BALANCE]])-1)),"")</f>
        <v>5956.6774858864774</v>
      </c>
      <c r="E370" s="7">
        <f>IF(PaymentSchedule[[#This Row],[PMT NO]]&lt;&gt;"",ScheduledPayment,"")</f>
        <v>608.02237179106271</v>
      </c>
      <c r="F370"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0"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70" s="7">
        <f>IF(PaymentSchedule[[#This Row],[PMT NO]]&lt;&gt;"",PaymentSchedule[[#This Row],[TOTAL PAYMENT]]-PaymentSchedule[[#This Row],[INTEREST]],"")</f>
        <v>585.68483121898839</v>
      </c>
      <c r="I370" s="7">
        <f>IF(PaymentSchedule[[#This Row],[PMT NO]]&lt;&gt;"",PaymentSchedule[[#This Row],[BEGINNING BALANCE]]*(InterestRate/PaymentsPerYear),"")</f>
        <v>22.337540572074289</v>
      </c>
      <c r="J370" s="7">
        <f>IF(PaymentSchedule[[#This Row],[PMT NO]]&lt;&gt;"",IF(PaymentSchedule[[#This Row],[SCHEDULED PAYMENT]]+PaymentSchedule[[#This Row],[EXTRA PAYMENT]]&lt;=PaymentSchedule[[#This Row],[BEGINNING BALANCE]],PaymentSchedule[[#This Row],[BEGINNING BALANCE]]-PaymentSchedule[[#This Row],[PRINCIPAL]],0),"")</f>
        <v>5370.9926546674888</v>
      </c>
      <c r="K370" s="7">
        <f>IF(PaymentSchedule[[#This Row],[PMT NO]]&lt;&gt;"",SUM(INDEX([INTEREST],1,1):PaymentSchedule[[#This Row],[INTEREST]]),"")</f>
        <v>98786.845153330549</v>
      </c>
    </row>
    <row r="371" spans="2:11">
      <c r="B371" s="4">
        <f>IF(LoanIsGood,IF(ROW()-ROW(PaymentSchedule[[#Headers],[PMT NO]])&gt;ScheduledNumberOfPayments,"",ROW()-ROW(PaymentSchedule[[#Headers],[PMT NO]])),"")</f>
        <v>352</v>
      </c>
      <c r="C371" s="5">
        <f>IF(PaymentSchedule[[#This Row],[PMT NO]]&lt;&gt;"",EOMONTH(LoanStartDate,ROW(PaymentSchedule[[#This Row],[PMT NO]])-ROW(PaymentSchedule[[#Headers],[PMT NO]])-2)+DAY(LoanStartDate),"")</f>
        <v>54758</v>
      </c>
      <c r="D371" s="7">
        <f>IF(PaymentSchedule[[#This Row],[PMT NO]]&lt;&gt;"",IF(ROW()-ROW(PaymentSchedule[[#Headers],[BEGINNING BALANCE]])=1,LoanAmount,INDEX([ENDING BALANCE],ROW()-ROW(PaymentSchedule[[#Headers],[BEGINNING BALANCE]])-1)),"")</f>
        <v>5370.9926546674888</v>
      </c>
      <c r="E371" s="7">
        <f>IF(PaymentSchedule[[#This Row],[PMT NO]]&lt;&gt;"",ScheduledPayment,"")</f>
        <v>608.02237179106271</v>
      </c>
      <c r="F371"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1"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71" s="7">
        <f>IF(PaymentSchedule[[#This Row],[PMT NO]]&lt;&gt;"",PaymentSchedule[[#This Row],[TOTAL PAYMENT]]-PaymentSchedule[[#This Row],[INTEREST]],"")</f>
        <v>587.88114933605959</v>
      </c>
      <c r="I371" s="7">
        <f>IF(PaymentSchedule[[#This Row],[PMT NO]]&lt;&gt;"",PaymentSchedule[[#This Row],[BEGINNING BALANCE]]*(InterestRate/PaymentsPerYear),"")</f>
        <v>20.141222455003081</v>
      </c>
      <c r="J371" s="7">
        <f>IF(PaymentSchedule[[#This Row],[PMT NO]]&lt;&gt;"",IF(PaymentSchedule[[#This Row],[SCHEDULED PAYMENT]]+PaymentSchedule[[#This Row],[EXTRA PAYMENT]]&lt;=PaymentSchedule[[#This Row],[BEGINNING BALANCE]],PaymentSchedule[[#This Row],[BEGINNING BALANCE]]-PaymentSchedule[[#This Row],[PRINCIPAL]],0),"")</f>
        <v>4783.1115053314288</v>
      </c>
      <c r="K371" s="7">
        <f>IF(PaymentSchedule[[#This Row],[PMT NO]]&lt;&gt;"",SUM(INDEX([INTEREST],1,1):PaymentSchedule[[#This Row],[INTEREST]]),"")</f>
        <v>98806.986375785549</v>
      </c>
    </row>
    <row r="372" spans="2:11">
      <c r="B372" s="4">
        <f>IF(LoanIsGood,IF(ROW()-ROW(PaymentSchedule[[#Headers],[PMT NO]])&gt;ScheduledNumberOfPayments,"",ROW()-ROW(PaymentSchedule[[#Headers],[PMT NO]])),"")</f>
        <v>353</v>
      </c>
      <c r="C372" s="5">
        <f>IF(PaymentSchedule[[#This Row],[PMT NO]]&lt;&gt;"",EOMONTH(LoanStartDate,ROW(PaymentSchedule[[#This Row],[PMT NO]])-ROW(PaymentSchedule[[#Headers],[PMT NO]])-2)+DAY(LoanStartDate),"")</f>
        <v>54789</v>
      </c>
      <c r="D372" s="7">
        <f>IF(PaymentSchedule[[#This Row],[PMT NO]]&lt;&gt;"",IF(ROW()-ROW(PaymentSchedule[[#Headers],[BEGINNING BALANCE]])=1,LoanAmount,INDEX([ENDING BALANCE],ROW()-ROW(PaymentSchedule[[#Headers],[BEGINNING BALANCE]])-1)),"")</f>
        <v>4783.1115053314288</v>
      </c>
      <c r="E372" s="7">
        <f>IF(PaymentSchedule[[#This Row],[PMT NO]]&lt;&gt;"",ScheduledPayment,"")</f>
        <v>608.02237179106271</v>
      </c>
      <c r="F372"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2"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72" s="7">
        <f>IF(PaymentSchedule[[#This Row],[PMT NO]]&lt;&gt;"",PaymentSchedule[[#This Row],[TOTAL PAYMENT]]-PaymentSchedule[[#This Row],[INTEREST]],"")</f>
        <v>590.08570364606987</v>
      </c>
      <c r="I372" s="7">
        <f>IF(PaymentSchedule[[#This Row],[PMT NO]]&lt;&gt;"",PaymentSchedule[[#This Row],[BEGINNING BALANCE]]*(InterestRate/PaymentsPerYear),"")</f>
        <v>17.936668144992858</v>
      </c>
      <c r="J372" s="7">
        <f>IF(PaymentSchedule[[#This Row],[PMT NO]]&lt;&gt;"",IF(PaymentSchedule[[#This Row],[SCHEDULED PAYMENT]]+PaymentSchedule[[#This Row],[EXTRA PAYMENT]]&lt;=PaymentSchedule[[#This Row],[BEGINNING BALANCE]],PaymentSchedule[[#This Row],[BEGINNING BALANCE]]-PaymentSchedule[[#This Row],[PRINCIPAL]],0),"")</f>
        <v>4193.0258016853586</v>
      </c>
      <c r="K372" s="7">
        <f>IF(PaymentSchedule[[#This Row],[PMT NO]]&lt;&gt;"",SUM(INDEX([INTEREST],1,1):PaymentSchedule[[#This Row],[INTEREST]]),"")</f>
        <v>98824.923043930539</v>
      </c>
    </row>
    <row r="373" spans="2:11">
      <c r="B373" s="4">
        <f>IF(LoanIsGood,IF(ROW()-ROW(PaymentSchedule[[#Headers],[PMT NO]])&gt;ScheduledNumberOfPayments,"",ROW()-ROW(PaymentSchedule[[#Headers],[PMT NO]])),"")</f>
        <v>354</v>
      </c>
      <c r="C373" s="5">
        <f>IF(PaymentSchedule[[#This Row],[PMT NO]]&lt;&gt;"",EOMONTH(LoanStartDate,ROW(PaymentSchedule[[#This Row],[PMT NO]])-ROW(PaymentSchedule[[#Headers],[PMT NO]])-2)+DAY(LoanStartDate),"")</f>
        <v>54820</v>
      </c>
      <c r="D373" s="7">
        <f>IF(PaymentSchedule[[#This Row],[PMT NO]]&lt;&gt;"",IF(ROW()-ROW(PaymentSchedule[[#Headers],[BEGINNING BALANCE]])=1,LoanAmount,INDEX([ENDING BALANCE],ROW()-ROW(PaymentSchedule[[#Headers],[BEGINNING BALANCE]])-1)),"")</f>
        <v>4193.0258016853586</v>
      </c>
      <c r="E373" s="7">
        <f>IF(PaymentSchedule[[#This Row],[PMT NO]]&lt;&gt;"",ScheduledPayment,"")</f>
        <v>608.02237179106271</v>
      </c>
      <c r="F373"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3"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73" s="7">
        <f>IF(PaymentSchedule[[#This Row],[PMT NO]]&lt;&gt;"",PaymentSchedule[[#This Row],[TOTAL PAYMENT]]-PaymentSchedule[[#This Row],[INTEREST]],"")</f>
        <v>592.29852503474262</v>
      </c>
      <c r="I373" s="7">
        <f>IF(PaymentSchedule[[#This Row],[PMT NO]]&lt;&gt;"",PaymentSchedule[[#This Row],[BEGINNING BALANCE]]*(InterestRate/PaymentsPerYear),"")</f>
        <v>15.723846756320095</v>
      </c>
      <c r="J373" s="7">
        <f>IF(PaymentSchedule[[#This Row],[PMT NO]]&lt;&gt;"",IF(PaymentSchedule[[#This Row],[SCHEDULED PAYMENT]]+PaymentSchedule[[#This Row],[EXTRA PAYMENT]]&lt;=PaymentSchedule[[#This Row],[BEGINNING BALANCE]],PaymentSchedule[[#This Row],[BEGINNING BALANCE]]-PaymentSchedule[[#This Row],[PRINCIPAL]],0),"")</f>
        <v>3600.7272766506157</v>
      </c>
      <c r="K373" s="7">
        <f>IF(PaymentSchedule[[#This Row],[PMT NO]]&lt;&gt;"",SUM(INDEX([INTEREST],1,1):PaymentSchedule[[#This Row],[INTEREST]]),"")</f>
        <v>98840.646890686854</v>
      </c>
    </row>
    <row r="374" spans="2:11">
      <c r="B374" s="4">
        <f>IF(LoanIsGood,IF(ROW()-ROW(PaymentSchedule[[#Headers],[PMT NO]])&gt;ScheduledNumberOfPayments,"",ROW()-ROW(PaymentSchedule[[#Headers],[PMT NO]])),"")</f>
        <v>355</v>
      </c>
      <c r="C374" s="5">
        <f>IF(PaymentSchedule[[#This Row],[PMT NO]]&lt;&gt;"",EOMONTH(LoanStartDate,ROW(PaymentSchedule[[#This Row],[PMT NO]])-ROW(PaymentSchedule[[#Headers],[PMT NO]])-2)+DAY(LoanStartDate),"")</f>
        <v>54848</v>
      </c>
      <c r="D374" s="7">
        <f>IF(PaymentSchedule[[#This Row],[PMT NO]]&lt;&gt;"",IF(ROW()-ROW(PaymentSchedule[[#Headers],[BEGINNING BALANCE]])=1,LoanAmount,INDEX([ENDING BALANCE],ROW()-ROW(PaymentSchedule[[#Headers],[BEGINNING BALANCE]])-1)),"")</f>
        <v>3600.7272766506157</v>
      </c>
      <c r="E374" s="7">
        <f>IF(PaymentSchedule[[#This Row],[PMT NO]]&lt;&gt;"",ScheduledPayment,"")</f>
        <v>608.02237179106271</v>
      </c>
      <c r="F374"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4"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74" s="7">
        <f>IF(PaymentSchedule[[#This Row],[PMT NO]]&lt;&gt;"",PaymentSchedule[[#This Row],[TOTAL PAYMENT]]-PaymentSchedule[[#This Row],[INTEREST]],"")</f>
        <v>594.51964450362289</v>
      </c>
      <c r="I374" s="7">
        <f>IF(PaymentSchedule[[#This Row],[PMT NO]]&lt;&gt;"",PaymentSchedule[[#This Row],[BEGINNING BALANCE]]*(InterestRate/PaymentsPerYear),"")</f>
        <v>13.502727287439809</v>
      </c>
      <c r="J374" s="7">
        <f>IF(PaymentSchedule[[#This Row],[PMT NO]]&lt;&gt;"",IF(PaymentSchedule[[#This Row],[SCHEDULED PAYMENT]]+PaymentSchedule[[#This Row],[EXTRA PAYMENT]]&lt;=PaymentSchedule[[#This Row],[BEGINNING BALANCE]],PaymentSchedule[[#This Row],[BEGINNING BALANCE]]-PaymentSchedule[[#This Row],[PRINCIPAL]],0),"")</f>
        <v>3006.2076321469931</v>
      </c>
      <c r="K374" s="7">
        <f>IF(PaymentSchedule[[#This Row],[PMT NO]]&lt;&gt;"",SUM(INDEX([INTEREST],1,1):PaymentSchedule[[#This Row],[INTEREST]]),"")</f>
        <v>98854.149617974297</v>
      </c>
    </row>
    <row r="375" spans="2:11">
      <c r="B375" s="4">
        <f>IF(LoanIsGood,IF(ROW()-ROW(PaymentSchedule[[#Headers],[PMT NO]])&gt;ScheduledNumberOfPayments,"",ROW()-ROW(PaymentSchedule[[#Headers],[PMT NO]])),"")</f>
        <v>356</v>
      </c>
      <c r="C375" s="5">
        <f>IF(PaymentSchedule[[#This Row],[PMT NO]]&lt;&gt;"",EOMONTH(LoanStartDate,ROW(PaymentSchedule[[#This Row],[PMT NO]])-ROW(PaymentSchedule[[#Headers],[PMT NO]])-2)+DAY(LoanStartDate),"")</f>
        <v>54879</v>
      </c>
      <c r="D375" s="7">
        <f>IF(PaymentSchedule[[#This Row],[PMT NO]]&lt;&gt;"",IF(ROW()-ROW(PaymentSchedule[[#Headers],[BEGINNING BALANCE]])=1,LoanAmount,INDEX([ENDING BALANCE],ROW()-ROW(PaymentSchedule[[#Headers],[BEGINNING BALANCE]])-1)),"")</f>
        <v>3006.2076321469931</v>
      </c>
      <c r="E375" s="7">
        <f>IF(PaymentSchedule[[#This Row],[PMT NO]]&lt;&gt;"",ScheduledPayment,"")</f>
        <v>608.02237179106271</v>
      </c>
      <c r="F375"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5"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75" s="7">
        <f>IF(PaymentSchedule[[#This Row],[PMT NO]]&lt;&gt;"",PaymentSchedule[[#This Row],[TOTAL PAYMENT]]-PaymentSchedule[[#This Row],[INTEREST]],"")</f>
        <v>596.74909317051151</v>
      </c>
      <c r="I375" s="7">
        <f>IF(PaymentSchedule[[#This Row],[PMT NO]]&lt;&gt;"",PaymentSchedule[[#This Row],[BEGINNING BALANCE]]*(InterestRate/PaymentsPerYear),"")</f>
        <v>11.273278620551224</v>
      </c>
      <c r="J375" s="7">
        <f>IF(PaymentSchedule[[#This Row],[PMT NO]]&lt;&gt;"",IF(PaymentSchedule[[#This Row],[SCHEDULED PAYMENT]]+PaymentSchedule[[#This Row],[EXTRA PAYMENT]]&lt;=PaymentSchedule[[#This Row],[BEGINNING BALANCE]],PaymentSchedule[[#This Row],[BEGINNING BALANCE]]-PaymentSchedule[[#This Row],[PRINCIPAL]],0),"")</f>
        <v>2409.4585389764816</v>
      </c>
      <c r="K375" s="7">
        <f>IF(PaymentSchedule[[#This Row],[PMT NO]]&lt;&gt;"",SUM(INDEX([INTEREST],1,1):PaymentSchedule[[#This Row],[INTEREST]]),"")</f>
        <v>98865.422896594842</v>
      </c>
    </row>
    <row r="376" spans="2:11">
      <c r="B376" s="4">
        <f>IF(LoanIsGood,IF(ROW()-ROW(PaymentSchedule[[#Headers],[PMT NO]])&gt;ScheduledNumberOfPayments,"",ROW()-ROW(PaymentSchedule[[#Headers],[PMT NO]])),"")</f>
        <v>357</v>
      </c>
      <c r="C376" s="5">
        <f>IF(PaymentSchedule[[#This Row],[PMT NO]]&lt;&gt;"",EOMONTH(LoanStartDate,ROW(PaymentSchedule[[#This Row],[PMT NO]])-ROW(PaymentSchedule[[#Headers],[PMT NO]])-2)+DAY(LoanStartDate),"")</f>
        <v>54909</v>
      </c>
      <c r="D376" s="7">
        <f>IF(PaymentSchedule[[#This Row],[PMT NO]]&lt;&gt;"",IF(ROW()-ROW(PaymentSchedule[[#Headers],[BEGINNING BALANCE]])=1,LoanAmount,INDEX([ENDING BALANCE],ROW()-ROW(PaymentSchedule[[#Headers],[BEGINNING BALANCE]])-1)),"")</f>
        <v>2409.4585389764816</v>
      </c>
      <c r="E376" s="7">
        <f>IF(PaymentSchedule[[#This Row],[PMT NO]]&lt;&gt;"",ScheduledPayment,"")</f>
        <v>608.02237179106271</v>
      </c>
      <c r="F376"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6"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76" s="7">
        <f>IF(PaymentSchedule[[#This Row],[PMT NO]]&lt;&gt;"",PaymentSchedule[[#This Row],[TOTAL PAYMENT]]-PaymentSchedule[[#This Row],[INTEREST]],"")</f>
        <v>598.98690226990095</v>
      </c>
      <c r="I376" s="7">
        <f>IF(PaymentSchedule[[#This Row],[PMT NO]]&lt;&gt;"",PaymentSchedule[[#This Row],[BEGINNING BALANCE]]*(InterestRate/PaymentsPerYear),"")</f>
        <v>9.0354695211618061</v>
      </c>
      <c r="J376" s="7">
        <f>IF(PaymentSchedule[[#This Row],[PMT NO]]&lt;&gt;"",IF(PaymentSchedule[[#This Row],[SCHEDULED PAYMENT]]+PaymentSchedule[[#This Row],[EXTRA PAYMENT]]&lt;=PaymentSchedule[[#This Row],[BEGINNING BALANCE]],PaymentSchedule[[#This Row],[BEGINNING BALANCE]]-PaymentSchedule[[#This Row],[PRINCIPAL]],0),"")</f>
        <v>1810.4716367065807</v>
      </c>
      <c r="K376" s="7">
        <f>IF(PaymentSchedule[[#This Row],[PMT NO]]&lt;&gt;"",SUM(INDEX([INTEREST],1,1):PaymentSchedule[[#This Row],[INTEREST]]),"")</f>
        <v>98874.458366116</v>
      </c>
    </row>
    <row r="377" spans="2:11">
      <c r="B377" s="4">
        <f>IF(LoanIsGood,IF(ROW()-ROW(PaymentSchedule[[#Headers],[PMT NO]])&gt;ScheduledNumberOfPayments,"",ROW()-ROW(PaymentSchedule[[#Headers],[PMT NO]])),"")</f>
        <v>358</v>
      </c>
      <c r="C377" s="5">
        <f>IF(PaymentSchedule[[#This Row],[PMT NO]]&lt;&gt;"",EOMONTH(LoanStartDate,ROW(PaymentSchedule[[#This Row],[PMT NO]])-ROW(PaymentSchedule[[#Headers],[PMT NO]])-2)+DAY(LoanStartDate),"")</f>
        <v>54940</v>
      </c>
      <c r="D377" s="7">
        <f>IF(PaymentSchedule[[#This Row],[PMT NO]]&lt;&gt;"",IF(ROW()-ROW(PaymentSchedule[[#Headers],[BEGINNING BALANCE]])=1,LoanAmount,INDEX([ENDING BALANCE],ROW()-ROW(PaymentSchedule[[#Headers],[BEGINNING BALANCE]])-1)),"")</f>
        <v>1810.4716367065807</v>
      </c>
      <c r="E377" s="7">
        <f>IF(PaymentSchedule[[#This Row],[PMT NO]]&lt;&gt;"",ScheduledPayment,"")</f>
        <v>608.02237179106271</v>
      </c>
      <c r="F377"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7"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77" s="7">
        <f>IF(PaymentSchedule[[#This Row],[PMT NO]]&lt;&gt;"",PaymentSchedule[[#This Row],[TOTAL PAYMENT]]-PaymentSchedule[[#This Row],[INTEREST]],"")</f>
        <v>601.23310315341303</v>
      </c>
      <c r="I377" s="7">
        <f>IF(PaymentSchedule[[#This Row],[PMT NO]]&lt;&gt;"",PaymentSchedule[[#This Row],[BEGINNING BALANCE]]*(InterestRate/PaymentsPerYear),"")</f>
        <v>6.7892686376496778</v>
      </c>
      <c r="J377" s="7">
        <f>IF(PaymentSchedule[[#This Row],[PMT NO]]&lt;&gt;"",IF(PaymentSchedule[[#This Row],[SCHEDULED PAYMENT]]+PaymentSchedule[[#This Row],[EXTRA PAYMENT]]&lt;=PaymentSchedule[[#This Row],[BEGINNING BALANCE]],PaymentSchedule[[#This Row],[BEGINNING BALANCE]]-PaymentSchedule[[#This Row],[PRINCIPAL]],0),"")</f>
        <v>1209.2385335531676</v>
      </c>
      <c r="K377" s="7">
        <f>IF(PaymentSchedule[[#This Row],[PMT NO]]&lt;&gt;"",SUM(INDEX([INTEREST],1,1):PaymentSchedule[[#This Row],[INTEREST]]),"")</f>
        <v>98881.247634753643</v>
      </c>
    </row>
    <row r="378" spans="2:11">
      <c r="B378" s="4">
        <f>IF(LoanIsGood,IF(ROW()-ROW(PaymentSchedule[[#Headers],[PMT NO]])&gt;ScheduledNumberOfPayments,"",ROW()-ROW(PaymentSchedule[[#Headers],[PMT NO]])),"")</f>
        <v>359</v>
      </c>
      <c r="C378" s="5">
        <f>IF(PaymentSchedule[[#This Row],[PMT NO]]&lt;&gt;"",EOMONTH(LoanStartDate,ROW(PaymentSchedule[[#This Row],[PMT NO]])-ROW(PaymentSchedule[[#Headers],[PMT NO]])-2)+DAY(LoanStartDate),"")</f>
        <v>54970</v>
      </c>
      <c r="D378" s="7">
        <f>IF(PaymentSchedule[[#This Row],[PMT NO]]&lt;&gt;"",IF(ROW()-ROW(PaymentSchedule[[#Headers],[BEGINNING BALANCE]])=1,LoanAmount,INDEX([ENDING BALANCE],ROW()-ROW(PaymentSchedule[[#Headers],[BEGINNING BALANCE]])-1)),"")</f>
        <v>1209.2385335531676</v>
      </c>
      <c r="E378" s="7">
        <f>IF(PaymentSchedule[[#This Row],[PMT NO]]&lt;&gt;"",ScheduledPayment,"")</f>
        <v>608.02237179106271</v>
      </c>
      <c r="F378"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8"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608.02237179106271</v>
      </c>
      <c r="H378" s="7">
        <f>IF(PaymentSchedule[[#This Row],[PMT NO]]&lt;&gt;"",PaymentSchedule[[#This Row],[TOTAL PAYMENT]]-PaymentSchedule[[#This Row],[INTEREST]],"")</f>
        <v>603.48772729023835</v>
      </c>
      <c r="I378" s="7">
        <f>IF(PaymentSchedule[[#This Row],[PMT NO]]&lt;&gt;"",PaymentSchedule[[#This Row],[BEGINNING BALANCE]]*(InterestRate/PaymentsPerYear),"")</f>
        <v>4.5346445008243785</v>
      </c>
      <c r="J378" s="7">
        <f>IF(PaymentSchedule[[#This Row],[PMT NO]]&lt;&gt;"",IF(PaymentSchedule[[#This Row],[SCHEDULED PAYMENT]]+PaymentSchedule[[#This Row],[EXTRA PAYMENT]]&lt;=PaymentSchedule[[#This Row],[BEGINNING BALANCE]],PaymentSchedule[[#This Row],[BEGINNING BALANCE]]-PaymentSchedule[[#This Row],[PRINCIPAL]],0),"")</f>
        <v>605.75080626292925</v>
      </c>
      <c r="K378" s="7">
        <f>IF(PaymentSchedule[[#This Row],[PMT NO]]&lt;&gt;"",SUM(INDEX([INTEREST],1,1):PaymentSchedule[[#This Row],[INTEREST]]),"")</f>
        <v>98885.782279254461</v>
      </c>
    </row>
    <row r="379" spans="2:11">
      <c r="B379" s="4">
        <f>IF(LoanIsGood,IF(ROW()-ROW(PaymentSchedule[[#Headers],[PMT NO]])&gt;ScheduledNumberOfPayments,"",ROW()-ROW(PaymentSchedule[[#Headers],[PMT NO]])),"")</f>
        <v>360</v>
      </c>
      <c r="C379" s="5">
        <f>IF(PaymentSchedule[[#This Row],[PMT NO]]&lt;&gt;"",EOMONTH(LoanStartDate,ROW(PaymentSchedule[[#This Row],[PMT NO]])-ROW(PaymentSchedule[[#Headers],[PMT NO]])-2)+DAY(LoanStartDate),"")</f>
        <v>55001</v>
      </c>
      <c r="D379" s="7">
        <f>IF(PaymentSchedule[[#This Row],[PMT NO]]&lt;&gt;"",IF(ROW()-ROW(PaymentSchedule[[#Headers],[BEGINNING BALANCE]])=1,LoanAmount,INDEX([ENDING BALANCE],ROW()-ROW(PaymentSchedule[[#Headers],[BEGINNING BALANCE]])-1)),"")</f>
        <v>605.75080626292925</v>
      </c>
      <c r="E379" s="7">
        <f>IF(PaymentSchedule[[#This Row],[PMT NO]]&lt;&gt;"",ScheduledPayment,"")</f>
        <v>608.02237179106271</v>
      </c>
      <c r="F379" s="7">
        <f>IF(PaymentSchedule[[#This Row],[PMT NO]]&lt;&gt;"",IF(PaymentSchedule[[#This Row],[SCHEDULED PAYMENT]]+ExtraPayments&lt;PaymentSchedule[[#This Row],[BEGINNING BALANCE]],ExtraPayments,IF(PaymentSchedule[[#This Row],[BEGINNING BALANCE]]-PaymentSchedule[[#This Row],[SCHEDULED PAYMENT]]&gt;0,PaymentSchedule[[#This Row],[BEGINNING BALANCE]]-PaymentSchedule[[#This Row],[SCHEDULED PAYMENT]],0)),"")</f>
        <v>0</v>
      </c>
      <c r="G379" s="7">
        <f>IF(PaymentSchedule[[#This Row],[PMT NO]]&lt;&gt;"",IF(PaymentSchedule[[#This Row],[SCHEDULED PAYMENT]]+PaymentSchedule[[#This Row],[EXTRA PAYMENT]]&lt;=PaymentSchedule[[#This Row],[BEGINNING BALANCE]],PaymentSchedule[[#This Row],[SCHEDULED PAYMENT]]+PaymentSchedule[[#This Row],[EXTRA PAYMENT]],PaymentSchedule[[#This Row],[BEGINNING BALANCE]]),"")</f>
        <v>605.75080626292925</v>
      </c>
      <c r="H379" s="7">
        <f>IF(PaymentSchedule[[#This Row],[PMT NO]]&lt;&gt;"",PaymentSchedule[[#This Row],[TOTAL PAYMENT]]-PaymentSchedule[[#This Row],[INTEREST]],"")</f>
        <v>603.4792407394433</v>
      </c>
      <c r="I379" s="7">
        <f>IF(PaymentSchedule[[#This Row],[PMT NO]]&lt;&gt;"",PaymentSchedule[[#This Row],[BEGINNING BALANCE]]*(InterestRate/PaymentsPerYear),"")</f>
        <v>2.2715655234859846</v>
      </c>
      <c r="J379" s="7">
        <f>IF(PaymentSchedule[[#This Row],[PMT NO]]&lt;&gt;"",IF(PaymentSchedule[[#This Row],[SCHEDULED PAYMENT]]+PaymentSchedule[[#This Row],[EXTRA PAYMENT]]&lt;=PaymentSchedule[[#This Row],[BEGINNING BALANCE]],PaymentSchedule[[#This Row],[BEGINNING BALANCE]]-PaymentSchedule[[#This Row],[PRINCIPAL]],0),"")</f>
        <v>0</v>
      </c>
      <c r="K379" s="7">
        <f>IF(PaymentSchedule[[#This Row],[PMT NO]]&lt;&gt;"",SUM(INDEX([INTEREST],1,1):PaymentSchedule[[#This Row],[INTEREST]]),"")</f>
        <v>98888.05384477794</v>
      </c>
    </row>
  </sheetData>
  <mergeCells count="1">
    <mergeCell ref="B2:P2"/>
  </mergeCells>
  <conditionalFormatting sqref="B20:K379">
    <cfRule type="expression" dxfId="1" priority="1">
      <formula>($B20="")+(($D20=0)*($F20=0))</formula>
    </cfRule>
  </conditionalFormatting>
  <dataValidations xWindow="502" yWindow="520" count="26">
    <dataValidation allowBlank="1" showInputMessage="1" showErrorMessage="1" prompt="Automatically calculated total interest" sqref="H11"/>
    <dataValidation allowBlank="1" showInputMessage="1" showErrorMessage="1" prompt="Automatically updated scheduled payment amount" sqref="H6"/>
    <dataValidation allowBlank="1" showInputMessage="1" showErrorMessage="1" prompt="Automatically updated scheduled number of payments" sqref="H7"/>
    <dataValidation allowBlank="1" showInputMessage="1" showErrorMessage="1" prompt="Automatically updated actual number of payments" sqref="H8"/>
    <dataValidation allowBlank="1" showInputMessage="1" showErrorMessage="1" prompt="Automatically updated total early payments" sqref="H9:H10"/>
    <dataValidation allowBlank="1" showInputMessage="1" showErrorMessage="1" prompt="Enter the name of the lender in this cell" sqref="G12:H12"/>
    <dataValidation allowBlank="1" showInputMessage="1" showErrorMessage="1" prompt="Loan Summary fields from I3 to I7 are automatically adjusted based on the values entered. Enter the Lender's name in I9" sqref="F5"/>
    <dataValidation allowBlank="1" showInputMessage="1" showErrorMessage="1" prompt="Enter Loan Amount in this cell" sqref="D8:D9 D6"/>
    <dataValidation allowBlank="1" showInputMessage="1" showErrorMessage="1" prompt="Enter interest rate to be paid annually in this cell" sqref="D10"/>
    <dataValidation allowBlank="1" showInputMessage="1" showErrorMessage="1" prompt="Enter loan period in years in this cell" sqref="D11"/>
    <dataValidation allowBlank="1" showInputMessage="1" showErrorMessage="1" prompt="Enter the number of payments to be made in a year in this cell" sqref="D12"/>
    <dataValidation allowBlank="1" showInputMessage="1" showErrorMessage="1" prompt="Enter the start date of loan in this cell" sqref="D13"/>
    <dataValidation allowBlank="1" showInputMessage="1" showErrorMessage="1" prompt="Enter loan values in cells E3 to E7 and E9. Description of each loan value is in column C. Payment Schedule table starting in cell B11 will automatically update" sqref="B5:B8"/>
    <dataValidation allowBlank="1" showInputMessage="1" showErrorMessage="1" prompt="Enter the amount of extra payment in this cell" sqref="E15:E17 D14"/>
    <dataValidation allowBlank="1" showInputMessage="1" showErrorMessage="1" prompt="Payment number is automatically updated in this column" sqref="B19"/>
    <dataValidation allowBlank="1" showInputMessage="1" showErrorMessage="1" prompt="Payment date is automatically updated in this column" sqref="C19"/>
    <dataValidation allowBlank="1" showInputMessage="1" showErrorMessage="1" prompt="Beginning balance is automatically updated in this column" sqref="D19"/>
    <dataValidation allowBlank="1" showInputMessage="1" showErrorMessage="1" prompt="Scheduled payment is automatically updated in this column" sqref="E19"/>
    <dataValidation allowBlank="1" showInputMessage="1" showErrorMessage="1" prompt="Extra payment is automatically updated in this column" sqref="F19"/>
    <dataValidation allowBlank="1" showInputMessage="1" showErrorMessage="1" prompt="Total payment is automatically updated in this column" sqref="G19"/>
    <dataValidation allowBlank="1" showInputMessage="1" showErrorMessage="1" prompt="Principal is automatically updated in this column" sqref="H19"/>
    <dataValidation allowBlank="1" showInputMessage="1" showErrorMessage="1" prompt="Interest is automatically updated in this column" sqref="I19"/>
    <dataValidation allowBlank="1" showInputMessage="1" showErrorMessage="1" prompt="Ending balance is automatically updated in this column" sqref="J19"/>
    <dataValidation allowBlank="1" showInputMessage="1" showErrorMessage="1" prompt="Cumulative interest is automatically updated in this column" sqref="K19"/>
    <dataValidation allowBlank="1" showInputMessage="1" showErrorMessage="1" prompt="This workbook produces a loan amortization schedule that calculates total interest and total payments &amp; includes the option for extra payments" sqref="A4"/>
    <dataValidation allowBlank="1" showInputMessage="1" showErrorMessage="1" prompt="Worksheet title is in this cell. Enter loan values in cells E3 to E7 &amp; extra payments in cell E9, loan summary in column I &amp; Payment Schedule table will automatically update" sqref="B4"/>
  </dataValidations>
  <hyperlinks>
    <hyperlink ref="C10" r:id="rId1"/>
  </hyperlinks>
  <printOptions horizontalCentered="1"/>
  <pageMargins left="0.4" right="0.4" top="0.4" bottom="0.5" header="0.3" footer="0.3"/>
  <pageSetup scale="79" fitToHeight="0" orientation="landscape" r:id="rId2"/>
  <headerFooter differentFirst="1">
    <oddFooter>Page &amp;P of &amp;N</oddFooter>
  </headerFooter>
  <tableParts count="1">
    <tablePart r:id="rId3"/>
  </tableParts>
</worksheet>
</file>

<file path=xl/worksheets/sheet2.xml><?xml version="1.0" encoding="utf-8"?>
<worksheet xmlns="http://schemas.openxmlformats.org/spreadsheetml/2006/main" xmlns:r="http://schemas.openxmlformats.org/officeDocument/2006/relationships">
  <sheetPr>
    <tabColor theme="4"/>
  </sheetPr>
  <dimension ref="B2:P55"/>
  <sheetViews>
    <sheetView topLeftCell="H1" workbookViewId="0">
      <selection activeCell="C20" sqref="C20"/>
    </sheetView>
  </sheetViews>
  <sheetFormatPr defaultRowHeight="14.25"/>
  <cols>
    <col min="1" max="1" width="3.25" customWidth="1"/>
    <col min="2" max="2" width="15.75" customWidth="1"/>
    <col min="3" max="3" width="16.125" bestFit="1" customWidth="1"/>
    <col min="4" max="4" width="12" bestFit="1" customWidth="1"/>
    <col min="5" max="5" width="14.5" bestFit="1" customWidth="1"/>
    <col min="6" max="6" width="8.875" customWidth="1"/>
    <col min="7" max="7" width="19.125" customWidth="1"/>
    <col min="8" max="8" width="16.125" bestFit="1" customWidth="1"/>
    <col min="9" max="9" width="11.125" bestFit="1" customWidth="1"/>
    <col min="10" max="10" width="17.875" bestFit="1" customWidth="1"/>
    <col min="11" max="11" width="24.125" bestFit="1" customWidth="1"/>
    <col min="12" max="12" width="17.875" bestFit="1" customWidth="1"/>
    <col min="13" max="13" width="20.75" bestFit="1" customWidth="1"/>
    <col min="14" max="14" width="18.375" bestFit="1" customWidth="1"/>
    <col min="15" max="15" width="12" bestFit="1" customWidth="1"/>
    <col min="16" max="16" width="12.125" customWidth="1"/>
  </cols>
  <sheetData>
    <row r="2" spans="2:15" ht="36" customHeight="1">
      <c r="B2" s="80" t="s">
        <v>139</v>
      </c>
      <c r="C2" s="80"/>
      <c r="D2" s="80"/>
      <c r="E2" s="80"/>
      <c r="F2" s="80"/>
      <c r="G2" s="80"/>
      <c r="H2" s="80"/>
      <c r="I2" s="80"/>
      <c r="J2" s="80"/>
      <c r="K2" s="80"/>
      <c r="L2" s="80"/>
      <c r="M2" s="80"/>
      <c r="N2" s="80"/>
      <c r="O2" s="80"/>
    </row>
    <row r="4" spans="2:15" ht="15.75" thickBot="1">
      <c r="B4" s="59" t="s">
        <v>126</v>
      </c>
      <c r="C4" s="59" t="s">
        <v>134</v>
      </c>
      <c r="D4" s="59" t="s">
        <v>133</v>
      </c>
    </row>
    <row r="5" spans="2:15" ht="15" thickTop="1">
      <c r="B5" s="60" t="s">
        <v>127</v>
      </c>
      <c r="C5" s="61">
        <f>E24</f>
        <v>53952.085000000014</v>
      </c>
      <c r="D5" s="61">
        <f>O24+SUM(K20:L24)</f>
        <v>90129.235976109238</v>
      </c>
    </row>
    <row r="6" spans="2:15">
      <c r="B6" s="60" t="s">
        <v>128</v>
      </c>
      <c r="C6" s="61">
        <f>E29</f>
        <v>86890.372413350065</v>
      </c>
      <c r="D6" s="61">
        <f>O29+SUM(K25:L29)</f>
        <v>143642.88058901363</v>
      </c>
    </row>
    <row r="7" spans="2:15">
      <c r="B7" s="60" t="s">
        <v>129</v>
      </c>
      <c r="C7" s="61">
        <f>E34</f>
        <v>139937.81367542446</v>
      </c>
      <c r="D7" s="61">
        <f>O34+SUM(K30:L34)</f>
        <v>209063.66695086425</v>
      </c>
    </row>
    <row r="8" spans="2:15">
      <c r="B8" s="60" t="s">
        <v>130</v>
      </c>
      <c r="C8" s="61">
        <f>E39</f>
        <v>225371.24830240791</v>
      </c>
      <c r="D8" s="61">
        <f>O39+SUM(K35:L39)</f>
        <v>289128.18080239982</v>
      </c>
    </row>
    <row r="9" spans="2:15">
      <c r="B9" s="60" t="s">
        <v>131</v>
      </c>
      <c r="C9" s="61">
        <f>E44</f>
        <v>362962.64910351112</v>
      </c>
      <c r="D9" s="61">
        <f>O44+SUM(K40:L44)</f>
        <v>387150.32967754191</v>
      </c>
    </row>
    <row r="10" spans="2:15">
      <c r="B10" s="60" t="s">
        <v>132</v>
      </c>
      <c r="C10" s="61">
        <f>E49</f>
        <v>584554.97600769589</v>
      </c>
      <c r="D10" s="61">
        <f>O49+SUM(K45:L49)</f>
        <v>507198.73737973027</v>
      </c>
    </row>
    <row r="14" spans="2:15" ht="21" thickBot="1">
      <c r="B14" s="81" t="s">
        <v>95</v>
      </c>
      <c r="C14" s="81"/>
      <c r="D14" s="81"/>
      <c r="E14" s="81"/>
      <c r="F14" s="23"/>
      <c r="G14" s="81" t="s">
        <v>94</v>
      </c>
      <c r="H14" s="81"/>
      <c r="I14" s="81"/>
      <c r="J14" s="81"/>
      <c r="K14" s="81"/>
      <c r="L14" s="81"/>
      <c r="M14" s="81"/>
      <c r="N14" s="81"/>
      <c r="O14" s="81"/>
    </row>
    <row r="15" spans="2:15" ht="15" thickTop="1"/>
    <row r="16" spans="2:15" ht="29.25">
      <c r="B16" t="s">
        <v>97</v>
      </c>
      <c r="C16" s="45">
        <v>0.1</v>
      </c>
      <c r="E16" s="58"/>
      <c r="G16" s="27" t="s">
        <v>92</v>
      </c>
      <c r="H16" s="45">
        <v>0.04</v>
      </c>
      <c r="J16" s="58"/>
      <c r="K16" t="s">
        <v>98</v>
      </c>
      <c r="L16" t="s">
        <v>91</v>
      </c>
    </row>
    <row r="17" spans="2:16" ht="29.25">
      <c r="E17" s="54"/>
      <c r="F17" s="19"/>
      <c r="G17" s="27" t="s">
        <v>93</v>
      </c>
      <c r="H17" s="45">
        <v>2.5000000000000001E-2</v>
      </c>
      <c r="J17" s="54"/>
      <c r="K17" s="19">
        <f>SUM(K20:K49)</f>
        <v>25200</v>
      </c>
      <c r="L17" s="19">
        <f>SUM(L20:L49)</f>
        <v>87642.558906761958</v>
      </c>
    </row>
    <row r="18" spans="2:16">
      <c r="F18" s="19"/>
    </row>
    <row r="19" spans="2:16">
      <c r="C19" t="s">
        <v>88</v>
      </c>
      <c r="D19" t="s">
        <v>86</v>
      </c>
      <c r="E19" t="s">
        <v>87</v>
      </c>
      <c r="F19" s="19"/>
      <c r="H19" t="s">
        <v>89</v>
      </c>
      <c r="I19" t="s">
        <v>86</v>
      </c>
      <c r="J19" t="s">
        <v>90</v>
      </c>
      <c r="K19" t="s">
        <v>108</v>
      </c>
      <c r="L19" t="s">
        <v>102</v>
      </c>
      <c r="M19" t="s">
        <v>99</v>
      </c>
      <c r="N19" t="s">
        <v>100</v>
      </c>
      <c r="O19" t="s">
        <v>101</v>
      </c>
    </row>
    <row r="20" spans="2:16">
      <c r="B20" t="s">
        <v>56</v>
      </c>
      <c r="C20" s="19">
        <f>'Real Estate Investment'!P9</f>
        <v>33500</v>
      </c>
      <c r="D20" s="22">
        <f>$C$16</f>
        <v>0.1</v>
      </c>
      <c r="E20" s="19">
        <f>C20*(1+D20)</f>
        <v>36850</v>
      </c>
      <c r="F20" s="19"/>
      <c r="G20" t="s">
        <v>56</v>
      </c>
      <c r="H20" s="19">
        <f>'Real Estate Investment'!D6</f>
        <v>150000</v>
      </c>
      <c r="I20" s="22">
        <f>$H$16</f>
        <v>0.04</v>
      </c>
      <c r="J20" s="19">
        <f>H20*(1+I20)</f>
        <v>156000</v>
      </c>
      <c r="K20" s="19">
        <f>H20*0.7/27.5*0.22</f>
        <v>840</v>
      </c>
      <c r="L20" s="19">
        <f>'Real Estate Investment'!P5*12</f>
        <v>2483.7315385072475</v>
      </c>
      <c r="M20" s="19">
        <f>'Real Estate Investment'!D20</f>
        <v>120000</v>
      </c>
      <c r="N20" s="19">
        <f>'Real Estate Investment'!J31</f>
        <v>118064.12796997852</v>
      </c>
      <c r="O20" s="19">
        <f>J20-N20</f>
        <v>37935.872030021477</v>
      </c>
    </row>
    <row r="21" spans="2:16">
      <c r="B21" t="s">
        <v>57</v>
      </c>
      <c r="C21" s="19">
        <f>E20</f>
        <v>36850</v>
      </c>
      <c r="D21" s="22">
        <f t="shared" ref="D21:D49" si="0">$C$16</f>
        <v>0.1</v>
      </c>
      <c r="E21" s="19">
        <f>C21*(1+D21)</f>
        <v>40535</v>
      </c>
      <c r="F21" s="19"/>
      <c r="G21" t="s">
        <v>57</v>
      </c>
      <c r="H21" s="19">
        <f>J20</f>
        <v>156000</v>
      </c>
      <c r="I21" s="22">
        <f t="shared" ref="I21:I49" si="1">$H$16</f>
        <v>0.04</v>
      </c>
      <c r="J21" s="19">
        <f>H21*(1+I21)</f>
        <v>162240</v>
      </c>
      <c r="K21" s="19">
        <f>K20</f>
        <v>840</v>
      </c>
      <c r="L21" s="19">
        <f>L20*(1+$H$17)</f>
        <v>2545.8248269699284</v>
      </c>
      <c r="M21" s="19">
        <f>N20</f>
        <v>118064.12796997852</v>
      </c>
      <c r="N21" s="19">
        <f>'Real Estate Investment'!J43</f>
        <v>116039.32231759689</v>
      </c>
      <c r="O21" s="19">
        <f t="shared" ref="O21:O49" si="2">J21-N21</f>
        <v>46200.677682403111</v>
      </c>
    </row>
    <row r="22" spans="2:16">
      <c r="B22" t="s">
        <v>58</v>
      </c>
      <c r="C22" s="19">
        <f t="shared" ref="C22:C49" si="3">E21</f>
        <v>40535</v>
      </c>
      <c r="D22" s="22">
        <f t="shared" si="0"/>
        <v>0.1</v>
      </c>
      <c r="E22" s="19">
        <f t="shared" ref="E22:E49" si="4">C22*(1+D22)</f>
        <v>44588.5</v>
      </c>
      <c r="F22" s="19"/>
      <c r="G22" t="s">
        <v>58</v>
      </c>
      <c r="H22" s="19">
        <f t="shared" ref="H22:H49" si="5">J21</f>
        <v>162240</v>
      </c>
      <c r="I22" s="22">
        <f t="shared" si="1"/>
        <v>0.04</v>
      </c>
      <c r="J22" s="19">
        <f t="shared" ref="J22:J49" si="6">H22*(1+I22)</f>
        <v>168729.60000000001</v>
      </c>
      <c r="K22" s="19">
        <f t="shared" ref="K22:K49" si="7">K21</f>
        <v>840</v>
      </c>
      <c r="L22" s="19">
        <f t="shared" ref="L22:L49" si="8">L21*1.01</f>
        <v>2571.2830752396276</v>
      </c>
      <c r="M22" s="19">
        <f t="shared" ref="M22:M49" si="9">N21</f>
        <v>116039.32231759689</v>
      </c>
      <c r="N22" s="19">
        <f>'Real Estate Investment'!J55</f>
        <v>113921.49744780363</v>
      </c>
      <c r="O22" s="19">
        <f t="shared" si="2"/>
        <v>54808.102552196375</v>
      </c>
    </row>
    <row r="23" spans="2:16">
      <c r="B23" t="s">
        <v>59</v>
      </c>
      <c r="C23" s="19">
        <f t="shared" si="3"/>
        <v>44588.5</v>
      </c>
      <c r="D23" s="22">
        <f t="shared" si="0"/>
        <v>0.1</v>
      </c>
      <c r="E23" s="19">
        <f t="shared" si="4"/>
        <v>49047.350000000006</v>
      </c>
      <c r="F23" s="19"/>
      <c r="G23" t="s">
        <v>59</v>
      </c>
      <c r="H23" s="19">
        <f t="shared" si="5"/>
        <v>168729.60000000001</v>
      </c>
      <c r="I23" s="22">
        <f t="shared" si="1"/>
        <v>0.04</v>
      </c>
      <c r="J23" s="19">
        <f t="shared" si="6"/>
        <v>175478.78400000001</v>
      </c>
      <c r="K23" s="19">
        <f t="shared" si="7"/>
        <v>840</v>
      </c>
      <c r="L23" s="19">
        <f t="shared" si="8"/>
        <v>2596.9959059920238</v>
      </c>
      <c r="M23" s="19">
        <f t="shared" si="9"/>
        <v>113921.49744780363</v>
      </c>
      <c r="N23" s="19">
        <f>'Real Estate Investment'!J67</f>
        <v>111706.38007402547</v>
      </c>
      <c r="O23" s="19">
        <f t="shared" si="2"/>
        <v>63772.403925974548</v>
      </c>
    </row>
    <row r="24" spans="2:16">
      <c r="B24" t="s">
        <v>60</v>
      </c>
      <c r="C24" s="19">
        <f t="shared" si="3"/>
        <v>49047.350000000006</v>
      </c>
      <c r="D24" s="22">
        <f t="shared" si="0"/>
        <v>0.1</v>
      </c>
      <c r="E24" s="19">
        <f t="shared" si="4"/>
        <v>53952.085000000014</v>
      </c>
      <c r="F24" s="19"/>
      <c r="G24" t="s">
        <v>60</v>
      </c>
      <c r="H24" s="19">
        <f t="shared" si="5"/>
        <v>175478.78400000001</v>
      </c>
      <c r="I24" s="22">
        <f t="shared" si="1"/>
        <v>0.04</v>
      </c>
      <c r="J24" s="19">
        <f t="shared" si="6"/>
        <v>182497.93536000003</v>
      </c>
      <c r="K24" s="19">
        <f t="shared" si="7"/>
        <v>840</v>
      </c>
      <c r="L24" s="19">
        <f t="shared" si="8"/>
        <v>2622.9658650519441</v>
      </c>
      <c r="M24" s="19">
        <f t="shared" si="9"/>
        <v>111706.38007402547</v>
      </c>
      <c r="N24" s="19">
        <f>'Real Estate Investment'!J79</f>
        <v>109389.50059565157</v>
      </c>
      <c r="O24" s="19">
        <f t="shared" si="2"/>
        <v>73108.434764348465</v>
      </c>
      <c r="P24">
        <v>5</v>
      </c>
    </row>
    <row r="25" spans="2:16">
      <c r="B25" t="s">
        <v>61</v>
      </c>
      <c r="C25" s="19">
        <f t="shared" si="3"/>
        <v>53952.085000000014</v>
      </c>
      <c r="D25" s="22">
        <f t="shared" si="0"/>
        <v>0.1</v>
      </c>
      <c r="E25" s="19">
        <f t="shared" si="4"/>
        <v>59347.293500000022</v>
      </c>
      <c r="F25" s="19"/>
      <c r="G25" t="s">
        <v>61</v>
      </c>
      <c r="H25" s="19">
        <f t="shared" si="5"/>
        <v>182497.93536000003</v>
      </c>
      <c r="I25" s="22">
        <f t="shared" si="1"/>
        <v>0.04</v>
      </c>
      <c r="J25" s="19">
        <f t="shared" si="6"/>
        <v>189797.85277440003</v>
      </c>
      <c r="K25" s="19">
        <f t="shared" si="7"/>
        <v>840</v>
      </c>
      <c r="L25" s="19">
        <f t="shared" si="8"/>
        <v>2649.1955237024636</v>
      </c>
      <c r="M25" s="19">
        <f t="shared" si="9"/>
        <v>109389.50059565157</v>
      </c>
      <c r="N25" s="19">
        <f>'Real Estate Investment'!J91</f>
        <v>106966.18407940101</v>
      </c>
      <c r="O25" s="19">
        <f t="shared" si="2"/>
        <v>82831.668694999025</v>
      </c>
    </row>
    <row r="26" spans="2:16">
      <c r="B26" t="s">
        <v>62</v>
      </c>
      <c r="C26" s="19">
        <f t="shared" si="3"/>
        <v>59347.293500000022</v>
      </c>
      <c r="D26" s="22">
        <f t="shared" si="0"/>
        <v>0.1</v>
      </c>
      <c r="E26" s="19">
        <f t="shared" si="4"/>
        <v>65282.02285000003</v>
      </c>
      <c r="F26" s="19"/>
      <c r="G26" t="s">
        <v>62</v>
      </c>
      <c r="H26" s="19">
        <f t="shared" si="5"/>
        <v>189797.85277440003</v>
      </c>
      <c r="I26" s="22">
        <f t="shared" si="1"/>
        <v>0.04</v>
      </c>
      <c r="J26" s="19">
        <f t="shared" si="6"/>
        <v>197389.76688537604</v>
      </c>
      <c r="K26" s="19">
        <f t="shared" si="7"/>
        <v>840</v>
      </c>
      <c r="L26" s="19">
        <f t="shared" si="8"/>
        <v>2675.6874789394883</v>
      </c>
      <c r="M26" s="19">
        <f t="shared" si="9"/>
        <v>106966.18407940101</v>
      </c>
      <c r="N26" s="19">
        <f>'Real Estate Investment'!J103</f>
        <v>104431.54082637592</v>
      </c>
      <c r="O26" s="19">
        <f t="shared" si="2"/>
        <v>92958.226059000124</v>
      </c>
    </row>
    <row r="27" spans="2:16">
      <c r="B27" t="s">
        <v>63</v>
      </c>
      <c r="C27" s="19">
        <f t="shared" si="3"/>
        <v>65282.02285000003</v>
      </c>
      <c r="D27" s="22">
        <f t="shared" si="0"/>
        <v>0.1</v>
      </c>
      <c r="E27" s="19">
        <f t="shared" si="4"/>
        <v>71810.225135000044</v>
      </c>
      <c r="F27" s="19"/>
      <c r="G27" t="s">
        <v>63</v>
      </c>
      <c r="H27" s="19">
        <f t="shared" si="5"/>
        <v>197389.76688537604</v>
      </c>
      <c r="I27" s="22">
        <f t="shared" si="1"/>
        <v>0.04</v>
      </c>
      <c r="J27" s="19">
        <f t="shared" si="6"/>
        <v>205285.35756079108</v>
      </c>
      <c r="K27" s="19">
        <f t="shared" si="7"/>
        <v>840</v>
      </c>
      <c r="L27" s="19">
        <f t="shared" si="8"/>
        <v>2702.444353728883</v>
      </c>
      <c r="M27" s="19">
        <f t="shared" si="9"/>
        <v>104431.54082637592</v>
      </c>
      <c r="N27" s="19">
        <f>'Real Estate Investment'!J115</f>
        <v>101780.45650576657</v>
      </c>
      <c r="O27" s="19">
        <f t="shared" si="2"/>
        <v>103504.9010550245</v>
      </c>
    </row>
    <row r="28" spans="2:16">
      <c r="B28" t="s">
        <v>64</v>
      </c>
      <c r="C28" s="19">
        <f t="shared" si="3"/>
        <v>71810.225135000044</v>
      </c>
      <c r="D28" s="22">
        <f t="shared" si="0"/>
        <v>0.1</v>
      </c>
      <c r="E28" s="19">
        <f t="shared" si="4"/>
        <v>78991.247648500052</v>
      </c>
      <c r="F28" s="19"/>
      <c r="G28" t="s">
        <v>64</v>
      </c>
      <c r="H28" s="19">
        <f t="shared" si="5"/>
        <v>205285.35756079108</v>
      </c>
      <c r="I28" s="22">
        <f t="shared" si="1"/>
        <v>0.04</v>
      </c>
      <c r="J28" s="19">
        <f t="shared" si="6"/>
        <v>213496.77186322273</v>
      </c>
      <c r="K28" s="19">
        <f t="shared" si="7"/>
        <v>840</v>
      </c>
      <c r="L28" s="19">
        <f t="shared" si="8"/>
        <v>2729.4687972661718</v>
      </c>
      <c r="M28" s="19">
        <f t="shared" si="9"/>
        <v>101780.45650576657</v>
      </c>
      <c r="N28" s="19">
        <f>'Real Estate Investment'!J127</f>
        <v>99007.58183530056</v>
      </c>
      <c r="O28" s="19">
        <f t="shared" si="2"/>
        <v>114489.19002792217</v>
      </c>
    </row>
    <row r="29" spans="2:16">
      <c r="B29" t="s">
        <v>65</v>
      </c>
      <c r="C29" s="19">
        <f t="shared" si="3"/>
        <v>78991.247648500052</v>
      </c>
      <c r="D29" s="22">
        <f t="shared" si="0"/>
        <v>0.1</v>
      </c>
      <c r="E29" s="19">
        <f t="shared" si="4"/>
        <v>86890.372413350065</v>
      </c>
      <c r="F29" s="19"/>
      <c r="G29" t="s">
        <v>65</v>
      </c>
      <c r="H29" s="19">
        <f t="shared" si="5"/>
        <v>213496.77186322273</v>
      </c>
      <c r="I29" s="22">
        <f t="shared" si="1"/>
        <v>0.04</v>
      </c>
      <c r="J29" s="19">
        <f t="shared" si="6"/>
        <v>222036.64273775165</v>
      </c>
      <c r="K29" s="19">
        <f t="shared" si="7"/>
        <v>840</v>
      </c>
      <c r="L29" s="19">
        <f t="shared" si="8"/>
        <v>2756.7634852388337</v>
      </c>
      <c r="M29" s="19">
        <f t="shared" si="9"/>
        <v>99007.58183530056</v>
      </c>
      <c r="N29" s="19">
        <f>'Real Estate Investment'!J139</f>
        <v>96107.321787613851</v>
      </c>
      <c r="O29" s="19">
        <f t="shared" si="2"/>
        <v>125929.3209501378</v>
      </c>
      <c r="P29">
        <v>10</v>
      </c>
    </row>
    <row r="30" spans="2:16">
      <c r="B30" t="s">
        <v>66</v>
      </c>
      <c r="C30" s="19">
        <f t="shared" si="3"/>
        <v>86890.372413350065</v>
      </c>
      <c r="D30" s="22">
        <f t="shared" si="0"/>
        <v>0.1</v>
      </c>
      <c r="E30" s="19">
        <f t="shared" si="4"/>
        <v>95579.409654685078</v>
      </c>
      <c r="F30" s="19"/>
      <c r="G30" t="s">
        <v>66</v>
      </c>
      <c r="H30" s="19">
        <f t="shared" si="5"/>
        <v>222036.64273775165</v>
      </c>
      <c r="I30" s="22">
        <f t="shared" si="1"/>
        <v>0.04</v>
      </c>
      <c r="J30" s="19">
        <f t="shared" si="6"/>
        <v>230918.10844726174</v>
      </c>
      <c r="K30" s="19">
        <f t="shared" si="7"/>
        <v>840</v>
      </c>
      <c r="L30" s="19">
        <f t="shared" si="8"/>
        <v>2784.3311200912221</v>
      </c>
      <c r="M30" s="19">
        <f t="shared" si="9"/>
        <v>96107.321787613851</v>
      </c>
      <c r="N30" s="19">
        <f>'Real Estate Investment'!J151</f>
        <v>93073.824300764201</v>
      </c>
      <c r="O30" s="19">
        <f t="shared" si="2"/>
        <v>137844.28414649755</v>
      </c>
    </row>
    <row r="31" spans="2:16">
      <c r="B31" t="s">
        <v>67</v>
      </c>
      <c r="C31" s="19">
        <f t="shared" si="3"/>
        <v>95579.409654685078</v>
      </c>
      <c r="D31" s="22">
        <f t="shared" si="0"/>
        <v>0.1</v>
      </c>
      <c r="E31" s="19">
        <f t="shared" si="4"/>
        <v>105137.35062015359</v>
      </c>
      <c r="F31" s="19"/>
      <c r="G31" t="s">
        <v>67</v>
      </c>
      <c r="H31" s="19">
        <f t="shared" si="5"/>
        <v>230918.10844726174</v>
      </c>
      <c r="I31" s="22">
        <f t="shared" si="1"/>
        <v>0.04</v>
      </c>
      <c r="J31" s="19">
        <f t="shared" si="6"/>
        <v>240154.83278515222</v>
      </c>
      <c r="K31" s="19">
        <f t="shared" si="7"/>
        <v>840</v>
      </c>
      <c r="L31" s="19">
        <f t="shared" si="8"/>
        <v>2812.1744312921346</v>
      </c>
      <c r="M31" s="19">
        <f t="shared" si="9"/>
        <v>93073.824300764201</v>
      </c>
      <c r="N31" s="19">
        <f>'Real Estate Investment'!J163</f>
        <v>89900.968470107589</v>
      </c>
      <c r="O31" s="19">
        <f t="shared" si="2"/>
        <v>150253.86431504463</v>
      </c>
    </row>
    <row r="32" spans="2:16">
      <c r="B32" t="s">
        <v>68</v>
      </c>
      <c r="C32" s="19">
        <f t="shared" si="3"/>
        <v>105137.35062015359</v>
      </c>
      <c r="D32" s="22">
        <f t="shared" si="0"/>
        <v>0.1</v>
      </c>
      <c r="E32" s="19">
        <f t="shared" si="4"/>
        <v>115651.08568216897</v>
      </c>
      <c r="F32" s="19"/>
      <c r="G32" t="s">
        <v>68</v>
      </c>
      <c r="H32" s="19">
        <f t="shared" si="5"/>
        <v>240154.83278515222</v>
      </c>
      <c r="I32" s="22">
        <f t="shared" si="1"/>
        <v>0.04</v>
      </c>
      <c r="J32" s="19">
        <f t="shared" si="6"/>
        <v>249761.02609655831</v>
      </c>
      <c r="K32" s="19">
        <f t="shared" si="7"/>
        <v>840</v>
      </c>
      <c r="L32" s="19">
        <f t="shared" si="8"/>
        <v>2840.2961756050559</v>
      </c>
      <c r="M32" s="19">
        <f t="shared" si="9"/>
        <v>89900.968470107589</v>
      </c>
      <c r="N32" s="19">
        <f>'Real Estate Investment'!J175</f>
        <v>86582.352197711647</v>
      </c>
      <c r="O32" s="19">
        <f t="shared" si="2"/>
        <v>163178.67389884667</v>
      </c>
    </row>
    <row r="33" spans="2:16">
      <c r="B33" t="s">
        <v>69</v>
      </c>
      <c r="C33" s="19">
        <f t="shared" si="3"/>
        <v>115651.08568216897</v>
      </c>
      <c r="D33" s="22">
        <f t="shared" si="0"/>
        <v>0.1</v>
      </c>
      <c r="E33" s="19">
        <f t="shared" si="4"/>
        <v>127216.19425038587</v>
      </c>
      <c r="F33" s="19"/>
      <c r="G33" t="s">
        <v>69</v>
      </c>
      <c r="H33" s="19">
        <f t="shared" si="5"/>
        <v>249761.02609655831</v>
      </c>
      <c r="I33" s="22">
        <f t="shared" si="1"/>
        <v>0.04</v>
      </c>
      <c r="J33" s="19">
        <f t="shared" si="6"/>
        <v>259751.46714042066</v>
      </c>
      <c r="K33" s="19">
        <f t="shared" si="7"/>
        <v>840</v>
      </c>
      <c r="L33" s="19">
        <f t="shared" si="8"/>
        <v>2868.6991373611063</v>
      </c>
      <c r="M33" s="19">
        <f t="shared" si="9"/>
        <v>86582.352197711647</v>
      </c>
      <c r="N33" s="19">
        <f>'Real Estate Investment'!J187</f>
        <v>83111.279274384942</v>
      </c>
      <c r="O33" s="19">
        <f t="shared" si="2"/>
        <v>176640.18786603573</v>
      </c>
    </row>
    <row r="34" spans="2:16">
      <c r="B34" t="s">
        <v>70</v>
      </c>
      <c r="C34" s="19">
        <f t="shared" si="3"/>
        <v>127216.19425038587</v>
      </c>
      <c r="D34" s="22">
        <f t="shared" si="0"/>
        <v>0.1</v>
      </c>
      <c r="E34" s="19">
        <f t="shared" si="4"/>
        <v>139937.81367542446</v>
      </c>
      <c r="F34" s="19"/>
      <c r="G34" t="s">
        <v>70</v>
      </c>
      <c r="H34" s="19">
        <f t="shared" si="5"/>
        <v>259751.46714042066</v>
      </c>
      <c r="I34" s="22">
        <f t="shared" si="1"/>
        <v>0.04</v>
      </c>
      <c r="J34" s="19">
        <f t="shared" si="6"/>
        <v>270141.52582603751</v>
      </c>
      <c r="K34" s="19">
        <f t="shared" si="7"/>
        <v>840</v>
      </c>
      <c r="L34" s="19">
        <f t="shared" si="8"/>
        <v>2897.3861287347172</v>
      </c>
      <c r="M34" s="19">
        <f t="shared" si="9"/>
        <v>83111.279274384942</v>
      </c>
      <c r="N34" s="19">
        <f>'Real Estate Investment'!J199</f>
        <v>79480.745868257509</v>
      </c>
      <c r="O34" s="19">
        <f t="shared" si="2"/>
        <v>190660.77995778</v>
      </c>
      <c r="P34">
        <v>15</v>
      </c>
    </row>
    <row r="35" spans="2:16">
      <c r="B35" t="s">
        <v>71</v>
      </c>
      <c r="C35" s="19">
        <f t="shared" si="3"/>
        <v>139937.81367542446</v>
      </c>
      <c r="D35" s="22">
        <f t="shared" si="0"/>
        <v>0.1</v>
      </c>
      <c r="E35" s="19">
        <f t="shared" si="4"/>
        <v>153931.59504296692</v>
      </c>
      <c r="F35" s="19"/>
      <c r="G35" t="s">
        <v>71</v>
      </c>
      <c r="H35" s="19">
        <f t="shared" si="5"/>
        <v>270141.52582603751</v>
      </c>
      <c r="I35" s="22">
        <f t="shared" si="1"/>
        <v>0.04</v>
      </c>
      <c r="J35" s="19">
        <f t="shared" si="6"/>
        <v>280947.186859079</v>
      </c>
      <c r="K35" s="19">
        <f t="shared" si="7"/>
        <v>840</v>
      </c>
      <c r="L35" s="19">
        <f t="shared" si="8"/>
        <v>2926.3599900220643</v>
      </c>
      <c r="M35" s="19">
        <f t="shared" si="9"/>
        <v>79480.745868257509</v>
      </c>
      <c r="N35" s="19">
        <f>'Real Estate Investment'!J211</f>
        <v>75683.426392648529</v>
      </c>
      <c r="O35" s="19">
        <f t="shared" si="2"/>
        <v>205263.76046643045</v>
      </c>
    </row>
    <row r="36" spans="2:16">
      <c r="B36" t="s">
        <v>72</v>
      </c>
      <c r="C36" s="19">
        <f t="shared" si="3"/>
        <v>153931.59504296692</v>
      </c>
      <c r="D36" s="22">
        <f t="shared" si="0"/>
        <v>0.1</v>
      </c>
      <c r="E36" s="19">
        <f t="shared" si="4"/>
        <v>169324.75454726361</v>
      </c>
      <c r="F36" s="19"/>
      <c r="G36" t="s">
        <v>72</v>
      </c>
      <c r="H36" s="19">
        <f t="shared" si="5"/>
        <v>280947.186859079</v>
      </c>
      <c r="I36" s="22">
        <f t="shared" si="1"/>
        <v>0.04</v>
      </c>
      <c r="J36" s="19">
        <f t="shared" si="6"/>
        <v>292185.07433344214</v>
      </c>
      <c r="K36" s="19">
        <f t="shared" si="7"/>
        <v>840</v>
      </c>
      <c r="L36" s="19">
        <f t="shared" si="8"/>
        <v>2955.6235899222847</v>
      </c>
      <c r="M36" s="19">
        <f t="shared" si="9"/>
        <v>75683.426392648529</v>
      </c>
      <c r="N36" s="19">
        <f>'Real Estate Investment'!J223</f>
        <v>71711.658724706853</v>
      </c>
      <c r="O36" s="19">
        <f t="shared" si="2"/>
        <v>220473.41560873529</v>
      </c>
    </row>
    <row r="37" spans="2:16">
      <c r="B37" t="s">
        <v>73</v>
      </c>
      <c r="C37" s="19">
        <f t="shared" si="3"/>
        <v>169324.75454726361</v>
      </c>
      <c r="D37" s="22">
        <f t="shared" si="0"/>
        <v>0.1</v>
      </c>
      <c r="E37" s="19">
        <f t="shared" si="4"/>
        <v>186257.23000198998</v>
      </c>
      <c r="F37" s="19"/>
      <c r="G37" t="s">
        <v>73</v>
      </c>
      <c r="H37" s="19">
        <f t="shared" si="5"/>
        <v>292185.07433344214</v>
      </c>
      <c r="I37" s="22">
        <f t="shared" si="1"/>
        <v>0.04</v>
      </c>
      <c r="J37" s="19">
        <f t="shared" si="6"/>
        <v>303872.47730677982</v>
      </c>
      <c r="K37" s="19">
        <f t="shared" si="7"/>
        <v>840</v>
      </c>
      <c r="L37" s="19">
        <f t="shared" si="8"/>
        <v>2985.1798258215076</v>
      </c>
      <c r="M37" s="19">
        <f t="shared" si="9"/>
        <v>71711.658724706853</v>
      </c>
      <c r="N37" s="19">
        <f>'Real Estate Investment'!J235</f>
        <v>67557.428744998091</v>
      </c>
      <c r="O37" s="19">
        <f t="shared" si="2"/>
        <v>236315.04856178173</v>
      </c>
    </row>
    <row r="38" spans="2:16">
      <c r="B38" t="s">
        <v>74</v>
      </c>
      <c r="C38" s="19">
        <f t="shared" si="3"/>
        <v>186257.23000198998</v>
      </c>
      <c r="D38" s="22">
        <f t="shared" si="0"/>
        <v>0.1</v>
      </c>
      <c r="E38" s="19">
        <f t="shared" si="4"/>
        <v>204882.953002189</v>
      </c>
      <c r="F38" s="19"/>
      <c r="G38" t="s">
        <v>74</v>
      </c>
      <c r="H38" s="19">
        <f t="shared" si="5"/>
        <v>303872.47730677982</v>
      </c>
      <c r="I38" s="22">
        <f t="shared" si="1"/>
        <v>0.04</v>
      </c>
      <c r="J38" s="19">
        <f t="shared" si="6"/>
        <v>316027.37639905105</v>
      </c>
      <c r="K38" s="19">
        <f t="shared" si="7"/>
        <v>840</v>
      </c>
      <c r="L38" s="19">
        <f t="shared" si="8"/>
        <v>3015.0316240797229</v>
      </c>
      <c r="M38" s="19">
        <f t="shared" si="9"/>
        <v>67557.428744998091</v>
      </c>
      <c r="N38" s="19">
        <f>'Real Estate Investment'!J247</f>
        <v>63212.354166843106</v>
      </c>
      <c r="O38" s="19">
        <f t="shared" si="2"/>
        <v>252815.02223220794</v>
      </c>
    </row>
    <row r="39" spans="2:16">
      <c r="B39" t="s">
        <v>75</v>
      </c>
      <c r="C39" s="19">
        <f t="shared" si="3"/>
        <v>204882.953002189</v>
      </c>
      <c r="D39" s="22">
        <f t="shared" si="0"/>
        <v>0.1</v>
      </c>
      <c r="E39" s="19">
        <f t="shared" si="4"/>
        <v>225371.24830240791</v>
      </c>
      <c r="F39" s="19"/>
      <c r="G39" t="s">
        <v>75</v>
      </c>
      <c r="H39" s="19">
        <f t="shared" si="5"/>
        <v>316027.37639905105</v>
      </c>
      <c r="I39" s="22">
        <f t="shared" si="1"/>
        <v>0.04</v>
      </c>
      <c r="J39" s="19">
        <f t="shared" si="6"/>
        <v>328668.47145501309</v>
      </c>
      <c r="K39" s="19">
        <f t="shared" si="7"/>
        <v>840</v>
      </c>
      <c r="L39" s="19">
        <f t="shared" si="8"/>
        <v>3045.18194032052</v>
      </c>
      <c r="M39" s="19">
        <f t="shared" si="9"/>
        <v>63212.354166843106</v>
      </c>
      <c r="N39" s="19">
        <f>'Real Estate Investment'!J259</f>
        <v>58667.667622779365</v>
      </c>
      <c r="O39" s="19">
        <f t="shared" si="2"/>
        <v>270000.80383223371</v>
      </c>
      <c r="P39">
        <v>20</v>
      </c>
    </row>
    <row r="40" spans="2:16">
      <c r="B40" t="s">
        <v>76</v>
      </c>
      <c r="C40" s="19">
        <f t="shared" si="3"/>
        <v>225371.24830240791</v>
      </c>
      <c r="D40" s="22">
        <f t="shared" si="0"/>
        <v>0.1</v>
      </c>
      <c r="E40" s="19">
        <f t="shared" si="4"/>
        <v>247908.37313264873</v>
      </c>
      <c r="F40" s="19"/>
      <c r="G40" t="s">
        <v>76</v>
      </c>
      <c r="H40" s="19">
        <f t="shared" si="5"/>
        <v>328668.47145501309</v>
      </c>
      <c r="I40" s="22">
        <f t="shared" si="1"/>
        <v>0.04</v>
      </c>
      <c r="J40" s="19">
        <f t="shared" si="6"/>
        <v>341815.21031321364</v>
      </c>
      <c r="K40" s="19">
        <f t="shared" si="7"/>
        <v>840</v>
      </c>
      <c r="L40" s="19">
        <f t="shared" si="8"/>
        <v>3075.6337597237252</v>
      </c>
      <c r="M40" s="19">
        <f t="shared" si="9"/>
        <v>58667.667622779365</v>
      </c>
      <c r="N40" s="19">
        <f>'Real Estate Investment'!J271</f>
        <v>53914.198974017017</v>
      </c>
      <c r="O40" s="19">
        <f t="shared" si="2"/>
        <v>287901.01133919664</v>
      </c>
    </row>
    <row r="41" spans="2:16">
      <c r="B41" t="s">
        <v>77</v>
      </c>
      <c r="C41" s="19">
        <f t="shared" si="3"/>
        <v>247908.37313264873</v>
      </c>
      <c r="D41" s="22">
        <f t="shared" si="0"/>
        <v>0.1</v>
      </c>
      <c r="E41" s="19">
        <f t="shared" si="4"/>
        <v>272699.2104459136</v>
      </c>
      <c r="F41" s="19"/>
      <c r="G41" t="s">
        <v>77</v>
      </c>
      <c r="H41" s="19">
        <f t="shared" si="5"/>
        <v>341815.21031321364</v>
      </c>
      <c r="I41" s="22">
        <f t="shared" si="1"/>
        <v>0.04</v>
      </c>
      <c r="J41" s="19">
        <f t="shared" si="6"/>
        <v>355487.81872574223</v>
      </c>
      <c r="K41" s="19">
        <f t="shared" si="7"/>
        <v>840</v>
      </c>
      <c r="L41" s="19">
        <f t="shared" si="8"/>
        <v>3106.3900973209625</v>
      </c>
      <c r="M41" s="19">
        <f t="shared" si="9"/>
        <v>53914.198974017017</v>
      </c>
      <c r="N41" s="19">
        <f>'Real Estate Investment'!J283</f>
        <v>48942.356807194599</v>
      </c>
      <c r="O41" s="19">
        <f t="shared" si="2"/>
        <v>306545.46191854763</v>
      </c>
    </row>
    <row r="42" spans="2:16">
      <c r="B42" t="s">
        <v>78</v>
      </c>
      <c r="C42" s="19">
        <f t="shared" si="3"/>
        <v>272699.2104459136</v>
      </c>
      <c r="D42" s="22">
        <f t="shared" si="0"/>
        <v>0.1</v>
      </c>
      <c r="E42" s="19">
        <f t="shared" si="4"/>
        <v>299969.13149050501</v>
      </c>
      <c r="F42" s="19"/>
      <c r="G42" t="s">
        <v>78</v>
      </c>
      <c r="H42" s="19">
        <f t="shared" si="5"/>
        <v>355487.81872574223</v>
      </c>
      <c r="I42" s="22">
        <f t="shared" si="1"/>
        <v>0.04</v>
      </c>
      <c r="J42" s="19">
        <f t="shared" si="6"/>
        <v>369707.3314747719</v>
      </c>
      <c r="K42" s="19">
        <f t="shared" si="7"/>
        <v>840</v>
      </c>
      <c r="L42" s="19">
        <f t="shared" si="8"/>
        <v>3137.4539982941719</v>
      </c>
      <c r="M42" s="19">
        <f t="shared" si="9"/>
        <v>48942.356807194599</v>
      </c>
      <c r="N42" s="19">
        <f>'Real Estate Investment'!J295</f>
        <v>43742.109081098934</v>
      </c>
      <c r="O42" s="19">
        <f t="shared" si="2"/>
        <v>325965.22239367297</v>
      </c>
    </row>
    <row r="43" spans="2:16">
      <c r="B43" t="s">
        <v>79</v>
      </c>
      <c r="C43" s="19">
        <f t="shared" si="3"/>
        <v>299969.13149050501</v>
      </c>
      <c r="D43" s="22">
        <f t="shared" si="0"/>
        <v>0.1</v>
      </c>
      <c r="E43" s="19">
        <f t="shared" si="4"/>
        <v>329966.04463955556</v>
      </c>
      <c r="F43" s="19"/>
      <c r="G43" t="s">
        <v>79</v>
      </c>
      <c r="H43" s="19">
        <f t="shared" si="5"/>
        <v>369707.3314747719</v>
      </c>
      <c r="I43" s="22">
        <f t="shared" si="1"/>
        <v>0.04</v>
      </c>
      <c r="J43" s="19">
        <f t="shared" si="6"/>
        <v>384495.62473376282</v>
      </c>
      <c r="K43" s="19">
        <f t="shared" si="7"/>
        <v>840</v>
      </c>
      <c r="L43" s="19">
        <f t="shared" si="8"/>
        <v>3168.8285382771137</v>
      </c>
      <c r="M43" s="19">
        <f t="shared" si="9"/>
        <v>43742.109081098934</v>
      </c>
      <c r="N43" s="19">
        <f>'Real Estate Investment'!J307</f>
        <v>38302.962884298686</v>
      </c>
      <c r="O43" s="19">
        <f t="shared" si="2"/>
        <v>346192.66184946412</v>
      </c>
    </row>
    <row r="44" spans="2:16">
      <c r="B44" t="s">
        <v>80</v>
      </c>
      <c r="C44" s="19">
        <f t="shared" si="3"/>
        <v>329966.04463955556</v>
      </c>
      <c r="D44" s="22">
        <f t="shared" si="0"/>
        <v>0.1</v>
      </c>
      <c r="E44" s="19">
        <f t="shared" si="4"/>
        <v>362962.64910351112</v>
      </c>
      <c r="F44" s="19"/>
      <c r="G44" t="s">
        <v>80</v>
      </c>
      <c r="H44" s="19">
        <f t="shared" si="5"/>
        <v>384495.62473376282</v>
      </c>
      <c r="I44" s="22">
        <f t="shared" si="1"/>
        <v>0.04</v>
      </c>
      <c r="J44" s="19">
        <f t="shared" si="6"/>
        <v>399875.44972311333</v>
      </c>
      <c r="K44" s="19">
        <f t="shared" si="7"/>
        <v>840</v>
      </c>
      <c r="L44" s="19">
        <f t="shared" si="8"/>
        <v>3200.5168236598847</v>
      </c>
      <c r="M44" s="19">
        <f t="shared" si="9"/>
        <v>38302.962884298686</v>
      </c>
      <c r="N44" s="19">
        <f>'Real Estate Investment'!J319</f>
        <v>32613.943262847253</v>
      </c>
      <c r="O44" s="19">
        <f t="shared" si="2"/>
        <v>367261.50646026607</v>
      </c>
      <c r="P44">
        <v>25</v>
      </c>
    </row>
    <row r="45" spans="2:16">
      <c r="B45" t="s">
        <v>81</v>
      </c>
      <c r="C45" s="19">
        <f t="shared" si="3"/>
        <v>362962.64910351112</v>
      </c>
      <c r="D45" s="22">
        <f t="shared" si="0"/>
        <v>0.1</v>
      </c>
      <c r="E45" s="19">
        <f t="shared" si="4"/>
        <v>399258.91401386226</v>
      </c>
      <c r="F45" s="19"/>
      <c r="G45" t="s">
        <v>81</v>
      </c>
      <c r="H45" s="19">
        <f t="shared" si="5"/>
        <v>399875.44972311333</v>
      </c>
      <c r="I45" s="22">
        <f t="shared" si="1"/>
        <v>0.04</v>
      </c>
      <c r="J45" s="19">
        <f t="shared" si="6"/>
        <v>415870.46771203785</v>
      </c>
      <c r="K45" s="19">
        <f t="shared" si="7"/>
        <v>840</v>
      </c>
      <c r="L45" s="19">
        <f t="shared" si="8"/>
        <v>3232.5219918964835</v>
      </c>
      <c r="M45" s="19">
        <f t="shared" si="9"/>
        <v>32613.943262847253</v>
      </c>
      <c r="N45" s="19">
        <f>'Real Estate Investment'!J331</f>
        <v>26663.57107533385</v>
      </c>
      <c r="O45" s="19">
        <f t="shared" si="2"/>
        <v>389206.89663670398</v>
      </c>
    </row>
    <row r="46" spans="2:16">
      <c r="B46" t="s">
        <v>82</v>
      </c>
      <c r="C46" s="19">
        <f t="shared" si="3"/>
        <v>399258.91401386226</v>
      </c>
      <c r="D46" s="22">
        <f t="shared" si="0"/>
        <v>0.1</v>
      </c>
      <c r="E46" s="19">
        <f t="shared" si="4"/>
        <v>439184.8054152485</v>
      </c>
      <c r="F46" s="19"/>
      <c r="G46" t="s">
        <v>82</v>
      </c>
      <c r="H46" s="19">
        <f t="shared" si="5"/>
        <v>415870.46771203785</v>
      </c>
      <c r="I46" s="22">
        <f t="shared" si="1"/>
        <v>0.04</v>
      </c>
      <c r="J46" s="19">
        <f t="shared" si="6"/>
        <v>432505.28642051935</v>
      </c>
      <c r="K46" s="19">
        <f t="shared" si="7"/>
        <v>840</v>
      </c>
      <c r="L46" s="19">
        <f t="shared" si="8"/>
        <v>3264.8472118154482</v>
      </c>
      <c r="M46" s="19">
        <f t="shared" si="9"/>
        <v>26663.57107533385</v>
      </c>
      <c r="N46" s="19">
        <f>'Real Estate Investment'!J343</f>
        <v>20439.839830599689</v>
      </c>
      <c r="O46" s="19">
        <f t="shared" si="2"/>
        <v>412065.44658991968</v>
      </c>
    </row>
    <row r="47" spans="2:16">
      <c r="B47" t="s">
        <v>83</v>
      </c>
      <c r="C47" s="19">
        <f t="shared" si="3"/>
        <v>439184.8054152485</v>
      </c>
      <c r="D47" s="22">
        <f t="shared" si="0"/>
        <v>0.1</v>
      </c>
      <c r="E47" s="19">
        <f t="shared" si="4"/>
        <v>483103.28595677338</v>
      </c>
      <c r="G47" t="s">
        <v>83</v>
      </c>
      <c r="H47" s="19">
        <f t="shared" si="5"/>
        <v>432505.28642051935</v>
      </c>
      <c r="I47" s="22">
        <f t="shared" si="1"/>
        <v>0.04</v>
      </c>
      <c r="J47" s="19">
        <f t="shared" si="6"/>
        <v>449805.49787734012</v>
      </c>
      <c r="K47" s="19">
        <f t="shared" si="7"/>
        <v>840</v>
      </c>
      <c r="L47" s="19">
        <f t="shared" si="8"/>
        <v>3297.4956839336028</v>
      </c>
      <c r="M47" s="19">
        <f t="shared" si="9"/>
        <v>20439.839830599689</v>
      </c>
      <c r="N47" s="19">
        <f>'Real Estate Investment'!J355</f>
        <v>13930.191461382781</v>
      </c>
      <c r="O47" s="19">
        <f t="shared" si="2"/>
        <v>435875.30641595734</v>
      </c>
    </row>
    <row r="48" spans="2:16">
      <c r="B48" t="s">
        <v>84</v>
      </c>
      <c r="C48" s="19">
        <f t="shared" si="3"/>
        <v>483103.28595677338</v>
      </c>
      <c r="D48" s="22">
        <f t="shared" si="0"/>
        <v>0.1</v>
      </c>
      <c r="E48" s="19">
        <f t="shared" si="4"/>
        <v>531413.61455245072</v>
      </c>
      <c r="G48" t="s">
        <v>84</v>
      </c>
      <c r="H48" s="19">
        <f t="shared" si="5"/>
        <v>449805.49787734012</v>
      </c>
      <c r="I48" s="22">
        <f t="shared" si="1"/>
        <v>0.04</v>
      </c>
      <c r="J48" s="19">
        <f t="shared" si="6"/>
        <v>467797.71779243374</v>
      </c>
      <c r="K48" s="19">
        <f t="shared" si="7"/>
        <v>840</v>
      </c>
      <c r="L48" s="19">
        <f t="shared" si="8"/>
        <v>3330.4706407729386</v>
      </c>
      <c r="M48" s="19">
        <f t="shared" si="9"/>
        <v>13930.191461382781</v>
      </c>
      <c r="N48" s="19">
        <f>'Real Estate Investment'!J367</f>
        <v>7121.4909850082804</v>
      </c>
      <c r="O48" s="19">
        <f t="shared" si="2"/>
        <v>460676.22680742544</v>
      </c>
    </row>
    <row r="49" spans="2:16">
      <c r="B49" t="s">
        <v>85</v>
      </c>
      <c r="C49" s="19">
        <f t="shared" si="3"/>
        <v>531413.61455245072</v>
      </c>
      <c r="D49" s="22">
        <f t="shared" si="0"/>
        <v>0.1</v>
      </c>
      <c r="E49" s="19">
        <f t="shared" si="4"/>
        <v>584554.97600769589</v>
      </c>
      <c r="G49" t="s">
        <v>85</v>
      </c>
      <c r="H49" s="19">
        <f t="shared" si="5"/>
        <v>467797.71779243374</v>
      </c>
      <c r="I49" s="22">
        <f t="shared" si="1"/>
        <v>0.04</v>
      </c>
      <c r="J49" s="19">
        <f t="shared" si="6"/>
        <v>486509.62650413113</v>
      </c>
      <c r="K49" s="19">
        <f t="shared" si="7"/>
        <v>840</v>
      </c>
      <c r="L49" s="19">
        <f t="shared" si="8"/>
        <v>3363.7753471806682</v>
      </c>
      <c r="M49" s="19">
        <f t="shared" si="9"/>
        <v>7121.4909850082804</v>
      </c>
      <c r="N49">
        <f>'Real Estate Investment'!J379</f>
        <v>0</v>
      </c>
      <c r="O49" s="19">
        <f t="shared" si="2"/>
        <v>486509.62650413113</v>
      </c>
      <c r="P49">
        <v>30</v>
      </c>
    </row>
    <row r="51" spans="2:16">
      <c r="H51" t="s">
        <v>109</v>
      </c>
    </row>
    <row r="52" spans="2:16">
      <c r="H52" t="s">
        <v>110</v>
      </c>
    </row>
    <row r="53" spans="2:16">
      <c r="H53" t="s">
        <v>111</v>
      </c>
    </row>
    <row r="54" spans="2:16">
      <c r="H54" t="s">
        <v>112</v>
      </c>
    </row>
    <row r="55" spans="2:16">
      <c r="H55" t="s">
        <v>113</v>
      </c>
    </row>
  </sheetData>
  <mergeCells count="3">
    <mergeCell ref="B14:E14"/>
    <mergeCell ref="G14:O14"/>
    <mergeCell ref="B2:O2"/>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1"/>
  </sheetPr>
  <dimension ref="B1:M20"/>
  <sheetViews>
    <sheetView workbookViewId="0">
      <selection activeCell="B21" sqref="B21"/>
    </sheetView>
  </sheetViews>
  <sheetFormatPr defaultRowHeight="14.25"/>
  <cols>
    <col min="1" max="1" width="3.625" customWidth="1"/>
  </cols>
  <sheetData>
    <row r="1" spans="2:13" ht="15" thickBot="1"/>
    <row r="2" spans="2:13">
      <c r="B2" s="82" t="s">
        <v>135</v>
      </c>
      <c r="C2" s="83"/>
      <c r="D2" s="83"/>
      <c r="E2" s="83"/>
      <c r="F2" s="83"/>
      <c r="G2" s="83"/>
      <c r="H2" s="83"/>
      <c r="I2" s="83"/>
      <c r="J2" s="83"/>
      <c r="K2" s="83"/>
      <c r="L2" s="83"/>
      <c r="M2" s="84"/>
    </row>
    <row r="3" spans="2:13">
      <c r="B3" s="85"/>
      <c r="C3" s="86"/>
      <c r="D3" s="86"/>
      <c r="E3" s="86"/>
      <c r="F3" s="86"/>
      <c r="G3" s="86"/>
      <c r="H3" s="86"/>
      <c r="I3" s="86"/>
      <c r="J3" s="86"/>
      <c r="K3" s="86"/>
      <c r="L3" s="86"/>
      <c r="M3" s="87"/>
    </row>
    <row r="4" spans="2:13">
      <c r="B4" s="85"/>
      <c r="C4" s="86"/>
      <c r="D4" s="86"/>
      <c r="E4" s="86"/>
      <c r="F4" s="86"/>
      <c r="G4" s="86"/>
      <c r="H4" s="86"/>
      <c r="I4" s="86"/>
      <c r="J4" s="86"/>
      <c r="K4" s="86"/>
      <c r="L4" s="86"/>
      <c r="M4" s="87"/>
    </row>
    <row r="5" spans="2:13">
      <c r="B5" s="85"/>
      <c r="C5" s="86"/>
      <c r="D5" s="86"/>
      <c r="E5" s="86"/>
      <c r="F5" s="86"/>
      <c r="G5" s="86"/>
      <c r="H5" s="86"/>
      <c r="I5" s="86"/>
      <c r="J5" s="86"/>
      <c r="K5" s="86"/>
      <c r="L5" s="86"/>
      <c r="M5" s="87"/>
    </row>
    <row r="6" spans="2:13">
      <c r="B6" s="85"/>
      <c r="C6" s="86"/>
      <c r="D6" s="86"/>
      <c r="E6" s="86"/>
      <c r="F6" s="86"/>
      <c r="G6" s="86"/>
      <c r="H6" s="86"/>
      <c r="I6" s="86"/>
      <c r="J6" s="86"/>
      <c r="K6" s="86"/>
      <c r="L6" s="86"/>
      <c r="M6" s="87"/>
    </row>
    <row r="7" spans="2:13">
      <c r="B7" s="85"/>
      <c r="C7" s="86"/>
      <c r="D7" s="86"/>
      <c r="E7" s="86"/>
      <c r="F7" s="86"/>
      <c r="G7" s="86"/>
      <c r="H7" s="86"/>
      <c r="I7" s="86"/>
      <c r="J7" s="86"/>
      <c r="K7" s="86"/>
      <c r="L7" s="86"/>
      <c r="M7" s="87"/>
    </row>
    <row r="8" spans="2:13">
      <c r="B8" s="85"/>
      <c r="C8" s="86"/>
      <c r="D8" s="86"/>
      <c r="E8" s="86"/>
      <c r="F8" s="86"/>
      <c r="G8" s="86"/>
      <c r="H8" s="86"/>
      <c r="I8" s="86"/>
      <c r="J8" s="86"/>
      <c r="K8" s="86"/>
      <c r="L8" s="86"/>
      <c r="M8" s="87"/>
    </row>
    <row r="9" spans="2:13">
      <c r="B9" s="85"/>
      <c r="C9" s="86"/>
      <c r="D9" s="86"/>
      <c r="E9" s="86"/>
      <c r="F9" s="86"/>
      <c r="G9" s="86"/>
      <c r="H9" s="86"/>
      <c r="I9" s="86"/>
      <c r="J9" s="86"/>
      <c r="K9" s="86"/>
      <c r="L9" s="86"/>
      <c r="M9" s="87"/>
    </row>
    <row r="10" spans="2:13">
      <c r="B10" s="85"/>
      <c r="C10" s="86"/>
      <c r="D10" s="86"/>
      <c r="E10" s="86"/>
      <c r="F10" s="86"/>
      <c r="G10" s="86"/>
      <c r="H10" s="86"/>
      <c r="I10" s="86"/>
      <c r="J10" s="86"/>
      <c r="K10" s="86"/>
      <c r="L10" s="86"/>
      <c r="M10" s="87"/>
    </row>
    <row r="11" spans="2:13">
      <c r="B11" s="85"/>
      <c r="C11" s="86"/>
      <c r="D11" s="86"/>
      <c r="E11" s="86"/>
      <c r="F11" s="86"/>
      <c r="G11" s="86"/>
      <c r="H11" s="86"/>
      <c r="I11" s="86"/>
      <c r="J11" s="86"/>
      <c r="K11" s="86"/>
      <c r="L11" s="86"/>
      <c r="M11" s="87"/>
    </row>
    <row r="12" spans="2:13">
      <c r="B12" s="85"/>
      <c r="C12" s="86"/>
      <c r="D12" s="86"/>
      <c r="E12" s="86"/>
      <c r="F12" s="86"/>
      <c r="G12" s="86"/>
      <c r="H12" s="86"/>
      <c r="I12" s="86"/>
      <c r="J12" s="86"/>
      <c r="K12" s="86"/>
      <c r="L12" s="86"/>
      <c r="M12" s="87"/>
    </row>
    <row r="13" spans="2:13">
      <c r="B13" s="85"/>
      <c r="C13" s="86"/>
      <c r="D13" s="86"/>
      <c r="E13" s="86"/>
      <c r="F13" s="86"/>
      <c r="G13" s="86"/>
      <c r="H13" s="86"/>
      <c r="I13" s="86"/>
      <c r="J13" s="86"/>
      <c r="K13" s="86"/>
      <c r="L13" s="86"/>
      <c r="M13" s="87"/>
    </row>
    <row r="14" spans="2:13">
      <c r="B14" s="85"/>
      <c r="C14" s="86"/>
      <c r="D14" s="86"/>
      <c r="E14" s="86"/>
      <c r="F14" s="86"/>
      <c r="G14" s="86"/>
      <c r="H14" s="86"/>
      <c r="I14" s="86"/>
      <c r="J14" s="86"/>
      <c r="K14" s="86"/>
      <c r="L14" s="86"/>
      <c r="M14" s="87"/>
    </row>
    <row r="15" spans="2:13">
      <c r="B15" s="85"/>
      <c r="C15" s="86"/>
      <c r="D15" s="86"/>
      <c r="E15" s="86"/>
      <c r="F15" s="86"/>
      <c r="G15" s="86"/>
      <c r="H15" s="86"/>
      <c r="I15" s="86"/>
      <c r="J15" s="86"/>
      <c r="K15" s="86"/>
      <c r="L15" s="86"/>
      <c r="M15" s="87"/>
    </row>
    <row r="16" spans="2:13">
      <c r="B16" s="85"/>
      <c r="C16" s="86"/>
      <c r="D16" s="86"/>
      <c r="E16" s="86"/>
      <c r="F16" s="86"/>
      <c r="G16" s="86"/>
      <c r="H16" s="86"/>
      <c r="I16" s="86"/>
      <c r="J16" s="86"/>
      <c r="K16" s="86"/>
      <c r="L16" s="86"/>
      <c r="M16" s="87"/>
    </row>
    <row r="17" spans="2:13">
      <c r="B17" s="85"/>
      <c r="C17" s="86"/>
      <c r="D17" s="86"/>
      <c r="E17" s="86"/>
      <c r="F17" s="86"/>
      <c r="G17" s="86"/>
      <c r="H17" s="86"/>
      <c r="I17" s="86"/>
      <c r="J17" s="86"/>
      <c r="K17" s="86"/>
      <c r="L17" s="86"/>
      <c r="M17" s="87"/>
    </row>
    <row r="18" spans="2:13">
      <c r="B18" s="85"/>
      <c r="C18" s="86"/>
      <c r="D18" s="86"/>
      <c r="E18" s="86"/>
      <c r="F18" s="86"/>
      <c r="G18" s="86"/>
      <c r="H18" s="86"/>
      <c r="I18" s="86"/>
      <c r="J18" s="86"/>
      <c r="K18" s="86"/>
      <c r="L18" s="86"/>
      <c r="M18" s="87"/>
    </row>
    <row r="19" spans="2:13">
      <c r="B19" s="85"/>
      <c r="C19" s="86"/>
      <c r="D19" s="86"/>
      <c r="E19" s="86"/>
      <c r="F19" s="86"/>
      <c r="G19" s="86"/>
      <c r="H19" s="86"/>
      <c r="I19" s="86"/>
      <c r="J19" s="86"/>
      <c r="K19" s="86"/>
      <c r="L19" s="86"/>
      <c r="M19" s="87"/>
    </row>
    <row r="20" spans="2:13" ht="15" thickBot="1">
      <c r="B20" s="88"/>
      <c r="C20" s="89"/>
      <c r="D20" s="89"/>
      <c r="E20" s="89"/>
      <c r="F20" s="89"/>
      <c r="G20" s="89"/>
      <c r="H20" s="89"/>
      <c r="I20" s="89"/>
      <c r="J20" s="89"/>
      <c r="K20" s="89"/>
      <c r="L20" s="89"/>
      <c r="M20" s="90"/>
    </row>
  </sheetData>
  <mergeCells count="1">
    <mergeCell ref="B2:M20"/>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5"/>
    <pageSetUpPr autoPageBreaks="0" fitToPage="1"/>
  </sheetPr>
  <dimension ref="B1:O376"/>
  <sheetViews>
    <sheetView showGridLines="0" zoomScaleNormal="100" workbookViewId="0">
      <pane ySplit="16" topLeftCell="A17" activePane="bottomLeft" state="frozen"/>
      <selection pane="bottomLeft" activeCell="N6" sqref="N6"/>
    </sheetView>
  </sheetViews>
  <sheetFormatPr defaultRowHeight="14.25"/>
  <cols>
    <col min="1" max="1" width="2.625" customWidth="1"/>
    <col min="2" max="2" width="6.875" customWidth="1"/>
    <col min="3" max="3" width="18" bestFit="1" customWidth="1"/>
    <col min="4" max="4" width="14" bestFit="1" customWidth="1"/>
    <col min="5" max="5" width="12.625" bestFit="1" customWidth="1"/>
    <col min="6" max="6" width="15.625" customWidth="1"/>
    <col min="7" max="9" width="11.875" bestFit="1" customWidth="1"/>
    <col min="10" max="10" width="15.625" customWidth="1"/>
    <col min="11" max="11" width="13.125" bestFit="1" customWidth="1"/>
    <col min="12" max="12" width="5.375" customWidth="1"/>
    <col min="13" max="13" width="32" bestFit="1" customWidth="1"/>
    <col min="14" max="14" width="11" bestFit="1" customWidth="1"/>
    <col min="15" max="15" width="6.875" customWidth="1"/>
    <col min="16" max="16" width="43.875" bestFit="1" customWidth="1"/>
  </cols>
  <sheetData>
    <row r="1" spans="2:15" ht="8.25" customHeight="1"/>
    <row r="2" spans="2:15" ht="36" customHeight="1">
      <c r="B2" s="80" t="s">
        <v>139</v>
      </c>
      <c r="C2" s="80"/>
      <c r="D2" s="80"/>
      <c r="E2" s="80"/>
      <c r="F2" s="80"/>
      <c r="G2" s="80"/>
      <c r="H2" s="80"/>
      <c r="I2" s="80"/>
      <c r="J2" s="80"/>
      <c r="K2" s="80"/>
      <c r="L2" s="80"/>
      <c r="M2" s="80"/>
      <c r="N2" s="80"/>
    </row>
    <row r="3" spans="2:15" ht="17.25" customHeight="1"/>
    <row r="4" spans="2:15" ht="21" thickBot="1">
      <c r="B4" s="1" t="s">
        <v>21</v>
      </c>
      <c r="C4" s="1"/>
      <c r="D4" s="1"/>
      <c r="E4" s="1"/>
      <c r="F4" s="1"/>
      <c r="G4" s="1"/>
      <c r="H4" s="1"/>
      <c r="I4" s="23"/>
      <c r="J4" s="1"/>
      <c r="K4" s="1"/>
      <c r="M4" s="46" t="s">
        <v>140</v>
      </c>
      <c r="N4" s="46"/>
      <c r="O4" s="47"/>
    </row>
    <row r="5" spans="2:15" ht="20.100000000000001" customHeight="1" thickTop="1" thickBot="1">
      <c r="B5" s="2" t="s">
        <v>7</v>
      </c>
      <c r="C5" s="2"/>
      <c r="D5" s="2"/>
      <c r="F5" s="2" t="s">
        <v>8</v>
      </c>
      <c r="G5" s="2"/>
      <c r="H5" s="2"/>
      <c r="I5" s="24"/>
      <c r="J5" t="s">
        <v>35</v>
      </c>
      <c r="K5" s="19">
        <f>H17</f>
        <v>477.73018984927489</v>
      </c>
      <c r="M5" s="47"/>
      <c r="N5" s="44">
        <v>6500</v>
      </c>
      <c r="O5" s="47"/>
    </row>
    <row r="6" spans="2:15" ht="15.75" thickBot="1">
      <c r="B6" s="14" t="s">
        <v>28</v>
      </c>
      <c r="C6" s="15"/>
      <c r="D6" s="42">
        <v>400000</v>
      </c>
      <c r="F6" s="12" t="s">
        <v>2</v>
      </c>
      <c r="G6" s="12"/>
      <c r="H6" s="36">
        <f>IF(LoanIsGood,-PMT(InterestRate/PaymentsPerYear,ScheduledNumberOfPayments,LoanAmount),"")</f>
        <v>1491.0635231826082</v>
      </c>
      <c r="J6" t="s">
        <v>36</v>
      </c>
      <c r="K6" s="19">
        <f>I17</f>
        <v>1013.3333333333333</v>
      </c>
      <c r="M6" s="52"/>
      <c r="N6" s="52"/>
      <c r="O6" s="47"/>
    </row>
    <row r="7" spans="2:15" ht="15.75" thickBot="1">
      <c r="B7" s="16" t="s">
        <v>29</v>
      </c>
      <c r="C7" s="17"/>
      <c r="D7" s="43">
        <v>0.2</v>
      </c>
      <c r="F7" s="11" t="s">
        <v>3</v>
      </c>
      <c r="G7" s="11"/>
      <c r="H7" s="37">
        <f>IF(LoanIsGood,LoanPeriod*PaymentsPerYear,"")</f>
        <v>360</v>
      </c>
      <c r="J7" t="s">
        <v>33</v>
      </c>
      <c r="K7" s="44">
        <v>7500</v>
      </c>
      <c r="M7" s="53"/>
      <c r="N7" s="54"/>
      <c r="O7" s="47"/>
    </row>
    <row r="8" spans="2:15" ht="15" thickBot="1">
      <c r="B8" s="16" t="s">
        <v>30</v>
      </c>
      <c r="C8" s="17"/>
      <c r="D8" s="31">
        <f>D6*D7</f>
        <v>80000</v>
      </c>
      <c r="F8" s="11" t="s">
        <v>4</v>
      </c>
      <c r="G8" s="11"/>
      <c r="H8" s="37">
        <f>ActualNumberOfPayments</f>
        <v>360</v>
      </c>
      <c r="J8" t="s">
        <v>34</v>
      </c>
      <c r="K8" s="19">
        <f>K7/12</f>
        <v>625</v>
      </c>
      <c r="M8" s="55"/>
      <c r="N8" s="55"/>
      <c r="O8" s="47"/>
    </row>
    <row r="9" spans="2:15" ht="14.25" customHeight="1">
      <c r="B9" s="28" t="s">
        <v>0</v>
      </c>
      <c r="C9" s="28"/>
      <c r="D9" s="25">
        <f>D6-D8</f>
        <v>320000</v>
      </c>
      <c r="F9" s="11" t="s">
        <v>26</v>
      </c>
      <c r="G9" s="11"/>
      <c r="H9" s="38">
        <f>(H7-H8)/D12</f>
        <v>0</v>
      </c>
      <c r="J9" t="s">
        <v>32</v>
      </c>
      <c r="K9" s="44">
        <v>1200</v>
      </c>
      <c r="M9" s="53"/>
      <c r="N9" s="56"/>
      <c r="O9" s="47"/>
    </row>
    <row r="10" spans="2:15" ht="15">
      <c r="B10" s="18" t="s">
        <v>22</v>
      </c>
      <c r="C10" s="13" t="s">
        <v>23</v>
      </c>
      <c r="D10" s="41">
        <v>3.7999999999999999E-2</v>
      </c>
      <c r="F10" s="11" t="s">
        <v>5</v>
      </c>
      <c r="G10" s="11"/>
      <c r="H10" s="39">
        <f>TotalEarlyPayments</f>
        <v>0</v>
      </c>
      <c r="J10" t="s">
        <v>31</v>
      </c>
      <c r="K10" s="19">
        <f>K9/12</f>
        <v>100</v>
      </c>
      <c r="M10" s="53"/>
      <c r="N10" s="56"/>
      <c r="O10" s="47"/>
    </row>
    <row r="11" spans="2:15" ht="15" thickBot="1">
      <c r="B11" s="18" t="s">
        <v>25</v>
      </c>
      <c r="C11" s="18"/>
      <c r="D11" s="32">
        <v>30</v>
      </c>
      <c r="F11" s="11" t="s">
        <v>6</v>
      </c>
      <c r="G11" s="11"/>
      <c r="H11" s="39">
        <f>TotalInterest</f>
        <v>216782.86834575256</v>
      </c>
      <c r="M11" s="53"/>
      <c r="N11" s="56"/>
      <c r="O11" s="47"/>
    </row>
    <row r="12" spans="2:15" ht="15.75" thickBot="1">
      <c r="B12" s="18" t="s">
        <v>24</v>
      </c>
      <c r="C12" s="18"/>
      <c r="D12" s="33">
        <v>12</v>
      </c>
      <c r="F12" s="3" t="s">
        <v>9</v>
      </c>
      <c r="G12" s="35" t="s">
        <v>20</v>
      </c>
      <c r="H12" s="35"/>
      <c r="J12" s="72" t="s">
        <v>37</v>
      </c>
      <c r="K12" s="73">
        <f>K5+K6+K8+K10</f>
        <v>2216.0635231826082</v>
      </c>
      <c r="M12" s="53"/>
      <c r="N12" s="56"/>
      <c r="O12" s="47"/>
    </row>
    <row r="13" spans="2:15" ht="15" thickBot="1">
      <c r="B13" s="29" t="s">
        <v>27</v>
      </c>
      <c r="C13" s="29"/>
      <c r="D13" s="40">
        <v>44075</v>
      </c>
      <c r="M13" s="53"/>
      <c r="N13" s="56"/>
      <c r="O13" s="47"/>
    </row>
    <row r="14" spans="2:15">
      <c r="B14" s="30" t="s">
        <v>1</v>
      </c>
      <c r="C14" s="30"/>
      <c r="D14" s="34"/>
      <c r="M14" s="53"/>
      <c r="N14" s="56"/>
      <c r="O14" s="47"/>
    </row>
    <row r="15" spans="2:15">
      <c r="C15" s="26"/>
      <c r="D15" s="26"/>
      <c r="E15" s="25"/>
      <c r="M15" s="47"/>
      <c r="N15" s="48"/>
      <c r="O15" s="47"/>
    </row>
    <row r="16" spans="2:15" ht="35.1" customHeight="1">
      <c r="B16" s="6" t="s">
        <v>10</v>
      </c>
      <c r="C16" s="6" t="s">
        <v>11</v>
      </c>
      <c r="D16" s="6" t="s">
        <v>12</v>
      </c>
      <c r="E16" s="6" t="s">
        <v>13</v>
      </c>
      <c r="F16" s="6" t="s">
        <v>14</v>
      </c>
      <c r="G16" s="6" t="s">
        <v>15</v>
      </c>
      <c r="H16" s="6" t="s">
        <v>16</v>
      </c>
      <c r="I16" s="6" t="s">
        <v>17</v>
      </c>
      <c r="J16" s="6" t="s">
        <v>18</v>
      </c>
      <c r="K16" s="6" t="s">
        <v>19</v>
      </c>
    </row>
    <row r="17" spans="2:11">
      <c r="B17" s="8">
        <f>IF(LoanIsGood,IF(ROW()-ROW(PaymentSchedule3[[#Headers],[PMT NO]])&gt;ScheduledNumberOfPayments,"",ROW()-ROW(PaymentSchedule3[[#Headers],[PMT NO]])),"")</f>
        <v>1</v>
      </c>
      <c r="C17" s="5">
        <f>IF(PaymentSchedule3[[#This Row],[PMT NO]]&lt;&gt;"",EOMONTH(LoanStartDate,ROW(PaymentSchedule3[[#This Row],[PMT NO]])-ROW(PaymentSchedule3[[#Headers],[PMT NO]])-2)+DAY(LoanStartDate),"")</f>
        <v>44075</v>
      </c>
      <c r="D17" s="7">
        <f>IF(PaymentSchedule3[[#This Row],[PMT NO]]&lt;&gt;"",IF(ROW()-ROW(PaymentSchedule3[[#Headers],[BEGINNING BALANCE]])=1,LoanAmount,INDEX([ENDING BALANCE],ROW()-ROW(PaymentSchedule3[[#Headers],[BEGINNING BALANCE]])-1)),"")</f>
        <v>320000</v>
      </c>
      <c r="E17" s="7">
        <f>IF(PaymentSchedule3[[#This Row],[PMT NO]]&lt;&gt;"",ScheduledPayment,"")</f>
        <v>1491.0635231826082</v>
      </c>
      <c r="F1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 s="7">
        <f>IF(PaymentSchedule3[[#This Row],[PMT NO]]&lt;&gt;"",PaymentSchedule3[[#This Row],[TOTAL PAYMENT]]-PaymentSchedule3[[#This Row],[INTEREST]],"")</f>
        <v>477.73018984927489</v>
      </c>
      <c r="I17" s="7">
        <f>IF(PaymentSchedule3[[#This Row],[PMT NO]]&lt;&gt;"",PaymentSchedule3[[#This Row],[BEGINNING BALANCE]]*(InterestRate/PaymentsPerYear),"")</f>
        <v>1013.3333333333333</v>
      </c>
      <c r="J17" s="7">
        <f>IF(PaymentSchedule3[[#This Row],[PMT NO]]&lt;&gt;"",IF(PaymentSchedule3[[#This Row],[SCHEDULED PAYMENT]]+PaymentSchedule3[[#This Row],[EXTRA PAYMENT]]&lt;=PaymentSchedule3[[#This Row],[BEGINNING BALANCE]],PaymentSchedule3[[#This Row],[BEGINNING BALANCE]]-PaymentSchedule3[[#This Row],[PRINCIPAL]],0),"")</f>
        <v>319522.26981015073</v>
      </c>
      <c r="K17" s="7">
        <f>IF(PaymentSchedule3[[#This Row],[PMT NO]]&lt;&gt;"",SUM(INDEX([INTEREST],1,1):PaymentSchedule3[[#This Row],[INTEREST]]),"")</f>
        <v>1013.3333333333333</v>
      </c>
    </row>
    <row r="18" spans="2:11">
      <c r="B18" s="4">
        <f>IF(LoanIsGood,IF(ROW()-ROW(PaymentSchedule3[[#Headers],[PMT NO]])&gt;ScheduledNumberOfPayments,"",ROW()-ROW(PaymentSchedule3[[#Headers],[PMT NO]])),"")</f>
        <v>2</v>
      </c>
      <c r="C18" s="5">
        <f>IF(PaymentSchedule3[[#This Row],[PMT NO]]&lt;&gt;"",EOMONTH(LoanStartDate,ROW(PaymentSchedule3[[#This Row],[PMT NO]])-ROW(PaymentSchedule3[[#Headers],[PMT NO]])-2)+DAY(LoanStartDate),"")</f>
        <v>44105</v>
      </c>
      <c r="D18" s="7">
        <f>IF(PaymentSchedule3[[#This Row],[PMT NO]]&lt;&gt;"",IF(ROW()-ROW(PaymentSchedule3[[#Headers],[BEGINNING BALANCE]])=1,LoanAmount,INDEX([ENDING BALANCE],ROW()-ROW(PaymentSchedule3[[#Headers],[BEGINNING BALANCE]])-1)),"")</f>
        <v>319522.26981015073</v>
      </c>
      <c r="E18" s="7">
        <f>IF(PaymentSchedule3[[#This Row],[PMT NO]]&lt;&gt;"",ScheduledPayment,"")</f>
        <v>1491.0635231826082</v>
      </c>
      <c r="F1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 s="7">
        <f>IF(PaymentSchedule3[[#This Row],[PMT NO]]&lt;&gt;"",PaymentSchedule3[[#This Row],[TOTAL PAYMENT]]-PaymentSchedule3[[#This Row],[INTEREST]],"")</f>
        <v>479.24300211713091</v>
      </c>
      <c r="I18" s="7">
        <f>IF(PaymentSchedule3[[#This Row],[PMT NO]]&lt;&gt;"",PaymentSchedule3[[#This Row],[BEGINNING BALANCE]]*(InterestRate/PaymentsPerYear),"")</f>
        <v>1011.8205210654772</v>
      </c>
      <c r="J18" s="7">
        <f>IF(PaymentSchedule3[[#This Row],[PMT NO]]&lt;&gt;"",IF(PaymentSchedule3[[#This Row],[SCHEDULED PAYMENT]]+PaymentSchedule3[[#This Row],[EXTRA PAYMENT]]&lt;=PaymentSchedule3[[#This Row],[BEGINNING BALANCE]],PaymentSchedule3[[#This Row],[BEGINNING BALANCE]]-PaymentSchedule3[[#This Row],[PRINCIPAL]],0),"")</f>
        <v>319043.02680803358</v>
      </c>
      <c r="K18" s="7">
        <f>IF(PaymentSchedule3[[#This Row],[PMT NO]]&lt;&gt;"",SUM(INDEX([INTEREST],1,1):PaymentSchedule3[[#This Row],[INTEREST]]),"")</f>
        <v>2025.1538543988104</v>
      </c>
    </row>
    <row r="19" spans="2:11">
      <c r="B19" s="4">
        <f>IF(LoanIsGood,IF(ROW()-ROW(PaymentSchedule3[[#Headers],[PMT NO]])&gt;ScheduledNumberOfPayments,"",ROW()-ROW(PaymentSchedule3[[#Headers],[PMT NO]])),"")</f>
        <v>3</v>
      </c>
      <c r="C19" s="5">
        <f>IF(PaymentSchedule3[[#This Row],[PMT NO]]&lt;&gt;"",EOMONTH(LoanStartDate,ROW(PaymentSchedule3[[#This Row],[PMT NO]])-ROW(PaymentSchedule3[[#Headers],[PMT NO]])-2)+DAY(LoanStartDate),"")</f>
        <v>44136</v>
      </c>
      <c r="D19" s="7">
        <f>IF(PaymentSchedule3[[#This Row],[PMT NO]]&lt;&gt;"",IF(ROW()-ROW(PaymentSchedule3[[#Headers],[BEGINNING BALANCE]])=1,LoanAmount,INDEX([ENDING BALANCE],ROW()-ROW(PaymentSchedule3[[#Headers],[BEGINNING BALANCE]])-1)),"")</f>
        <v>319043.02680803358</v>
      </c>
      <c r="E19" s="7">
        <f>IF(PaymentSchedule3[[#This Row],[PMT NO]]&lt;&gt;"",ScheduledPayment,"")</f>
        <v>1491.0635231826082</v>
      </c>
      <c r="F1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 s="7">
        <f>IF(PaymentSchedule3[[#This Row],[PMT NO]]&lt;&gt;"",PaymentSchedule3[[#This Row],[TOTAL PAYMENT]]-PaymentSchedule3[[#This Row],[INTEREST]],"")</f>
        <v>480.76060495716854</v>
      </c>
      <c r="I19" s="7">
        <f>IF(PaymentSchedule3[[#This Row],[PMT NO]]&lt;&gt;"",PaymentSchedule3[[#This Row],[BEGINNING BALANCE]]*(InterestRate/PaymentsPerYear),"")</f>
        <v>1010.3029182254396</v>
      </c>
      <c r="J19" s="7">
        <f>IF(PaymentSchedule3[[#This Row],[PMT NO]]&lt;&gt;"",IF(PaymentSchedule3[[#This Row],[SCHEDULED PAYMENT]]+PaymentSchedule3[[#This Row],[EXTRA PAYMENT]]&lt;=PaymentSchedule3[[#This Row],[BEGINNING BALANCE]],PaymentSchedule3[[#This Row],[BEGINNING BALANCE]]-PaymentSchedule3[[#This Row],[PRINCIPAL]],0),"")</f>
        <v>318562.2662030764</v>
      </c>
      <c r="K19" s="7">
        <f>IF(PaymentSchedule3[[#This Row],[PMT NO]]&lt;&gt;"",SUM(INDEX([INTEREST],1,1):PaymentSchedule3[[#This Row],[INTEREST]]),"")</f>
        <v>3035.4567726242499</v>
      </c>
    </row>
    <row r="20" spans="2:11">
      <c r="B20" s="4">
        <f>IF(LoanIsGood,IF(ROW()-ROW(PaymentSchedule3[[#Headers],[PMT NO]])&gt;ScheduledNumberOfPayments,"",ROW()-ROW(PaymentSchedule3[[#Headers],[PMT NO]])),"")</f>
        <v>4</v>
      </c>
      <c r="C20" s="5">
        <f>IF(PaymentSchedule3[[#This Row],[PMT NO]]&lt;&gt;"",EOMONTH(LoanStartDate,ROW(PaymentSchedule3[[#This Row],[PMT NO]])-ROW(PaymentSchedule3[[#Headers],[PMT NO]])-2)+DAY(LoanStartDate),"")</f>
        <v>44166</v>
      </c>
      <c r="D20" s="7">
        <f>IF(PaymentSchedule3[[#This Row],[PMT NO]]&lt;&gt;"",IF(ROW()-ROW(PaymentSchedule3[[#Headers],[BEGINNING BALANCE]])=1,LoanAmount,INDEX([ENDING BALANCE],ROW()-ROW(PaymentSchedule3[[#Headers],[BEGINNING BALANCE]])-1)),"")</f>
        <v>318562.2662030764</v>
      </c>
      <c r="E20" s="7">
        <f>IF(PaymentSchedule3[[#This Row],[PMT NO]]&lt;&gt;"",ScheduledPayment,"")</f>
        <v>1491.0635231826082</v>
      </c>
      <c r="F2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 s="7">
        <f>IF(PaymentSchedule3[[#This Row],[PMT NO]]&lt;&gt;"",PaymentSchedule3[[#This Row],[TOTAL PAYMENT]]-PaymentSchedule3[[#This Row],[INTEREST]],"")</f>
        <v>482.28301353953293</v>
      </c>
      <c r="I20" s="7">
        <f>IF(PaymentSchedule3[[#This Row],[PMT NO]]&lt;&gt;"",PaymentSchedule3[[#This Row],[BEGINNING BALANCE]]*(InterestRate/PaymentsPerYear),"")</f>
        <v>1008.7805096430752</v>
      </c>
      <c r="J20" s="7">
        <f>IF(PaymentSchedule3[[#This Row],[PMT NO]]&lt;&gt;"",IF(PaymentSchedule3[[#This Row],[SCHEDULED PAYMENT]]+PaymentSchedule3[[#This Row],[EXTRA PAYMENT]]&lt;=PaymentSchedule3[[#This Row],[BEGINNING BALANCE]],PaymentSchedule3[[#This Row],[BEGINNING BALANCE]]-PaymentSchedule3[[#This Row],[PRINCIPAL]],0),"")</f>
        <v>318079.9831895369</v>
      </c>
      <c r="K20" s="7">
        <f>IF(PaymentSchedule3[[#This Row],[PMT NO]]&lt;&gt;"",SUM(INDEX([INTEREST],1,1):PaymentSchedule3[[#This Row],[INTEREST]]),"")</f>
        <v>4044.2372822673251</v>
      </c>
    </row>
    <row r="21" spans="2:11">
      <c r="B21" s="4">
        <f>IF(LoanIsGood,IF(ROW()-ROW(PaymentSchedule3[[#Headers],[PMT NO]])&gt;ScheduledNumberOfPayments,"",ROW()-ROW(PaymentSchedule3[[#Headers],[PMT NO]])),"")</f>
        <v>5</v>
      </c>
      <c r="C21" s="5">
        <f>IF(PaymentSchedule3[[#This Row],[PMT NO]]&lt;&gt;"",EOMONTH(LoanStartDate,ROW(PaymentSchedule3[[#This Row],[PMT NO]])-ROW(PaymentSchedule3[[#Headers],[PMT NO]])-2)+DAY(LoanStartDate),"")</f>
        <v>44197</v>
      </c>
      <c r="D21" s="7">
        <f>IF(PaymentSchedule3[[#This Row],[PMT NO]]&lt;&gt;"",IF(ROW()-ROW(PaymentSchedule3[[#Headers],[BEGINNING BALANCE]])=1,LoanAmount,INDEX([ENDING BALANCE],ROW()-ROW(PaymentSchedule3[[#Headers],[BEGINNING BALANCE]])-1)),"")</f>
        <v>318079.9831895369</v>
      </c>
      <c r="E21" s="7">
        <f>IF(PaymentSchedule3[[#This Row],[PMT NO]]&lt;&gt;"",ScheduledPayment,"")</f>
        <v>1491.0635231826082</v>
      </c>
      <c r="F2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 s="7">
        <f>IF(PaymentSchedule3[[#This Row],[PMT NO]]&lt;&gt;"",PaymentSchedule3[[#This Row],[TOTAL PAYMENT]]-PaymentSchedule3[[#This Row],[INTEREST]],"")</f>
        <v>483.81024308240796</v>
      </c>
      <c r="I21" s="7">
        <f>IF(PaymentSchedule3[[#This Row],[PMT NO]]&lt;&gt;"",PaymentSchedule3[[#This Row],[BEGINNING BALANCE]]*(InterestRate/PaymentsPerYear),"")</f>
        <v>1007.2532801002002</v>
      </c>
      <c r="J21" s="7">
        <f>IF(PaymentSchedule3[[#This Row],[PMT NO]]&lt;&gt;"",IF(PaymentSchedule3[[#This Row],[SCHEDULED PAYMENT]]+PaymentSchedule3[[#This Row],[EXTRA PAYMENT]]&lt;=PaymentSchedule3[[#This Row],[BEGINNING BALANCE]],PaymentSchedule3[[#This Row],[BEGINNING BALANCE]]-PaymentSchedule3[[#This Row],[PRINCIPAL]],0),"")</f>
        <v>317596.17294645449</v>
      </c>
      <c r="K21" s="7">
        <f>IF(PaymentSchedule3[[#This Row],[PMT NO]]&lt;&gt;"",SUM(INDEX([INTEREST],1,1):PaymentSchedule3[[#This Row],[INTEREST]]),"")</f>
        <v>5051.4905623675249</v>
      </c>
    </row>
    <row r="22" spans="2:11">
      <c r="B22" s="4">
        <f>IF(LoanIsGood,IF(ROW()-ROW(PaymentSchedule3[[#Headers],[PMT NO]])&gt;ScheduledNumberOfPayments,"",ROW()-ROW(PaymentSchedule3[[#Headers],[PMT NO]])),"")</f>
        <v>6</v>
      </c>
      <c r="C22" s="5">
        <f>IF(PaymentSchedule3[[#This Row],[PMT NO]]&lt;&gt;"",EOMONTH(LoanStartDate,ROW(PaymentSchedule3[[#This Row],[PMT NO]])-ROW(PaymentSchedule3[[#Headers],[PMT NO]])-2)+DAY(LoanStartDate),"")</f>
        <v>44228</v>
      </c>
      <c r="D22" s="7">
        <f>IF(PaymentSchedule3[[#This Row],[PMT NO]]&lt;&gt;"",IF(ROW()-ROW(PaymentSchedule3[[#Headers],[BEGINNING BALANCE]])=1,LoanAmount,INDEX([ENDING BALANCE],ROW()-ROW(PaymentSchedule3[[#Headers],[BEGINNING BALANCE]])-1)),"")</f>
        <v>317596.17294645449</v>
      </c>
      <c r="E22" s="7">
        <f>IF(PaymentSchedule3[[#This Row],[PMT NO]]&lt;&gt;"",ScheduledPayment,"")</f>
        <v>1491.0635231826082</v>
      </c>
      <c r="F2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 s="7">
        <f>IF(PaymentSchedule3[[#This Row],[PMT NO]]&lt;&gt;"",PaymentSchedule3[[#This Row],[TOTAL PAYMENT]]-PaymentSchedule3[[#This Row],[INTEREST]],"")</f>
        <v>485.34230885216891</v>
      </c>
      <c r="I22" s="7">
        <f>IF(PaymentSchedule3[[#This Row],[PMT NO]]&lt;&gt;"",PaymentSchedule3[[#This Row],[BEGINNING BALANCE]]*(InterestRate/PaymentsPerYear),"")</f>
        <v>1005.7212143304392</v>
      </c>
      <c r="J22" s="7">
        <f>IF(PaymentSchedule3[[#This Row],[PMT NO]]&lt;&gt;"",IF(PaymentSchedule3[[#This Row],[SCHEDULED PAYMENT]]+PaymentSchedule3[[#This Row],[EXTRA PAYMENT]]&lt;=PaymentSchedule3[[#This Row],[BEGINNING BALANCE]],PaymentSchedule3[[#This Row],[BEGINNING BALANCE]]-PaymentSchedule3[[#This Row],[PRINCIPAL]],0),"")</f>
        <v>317110.83063760231</v>
      </c>
      <c r="K22" s="7">
        <f>IF(PaymentSchedule3[[#This Row],[PMT NO]]&lt;&gt;"",SUM(INDEX([INTEREST],1,1):PaymentSchedule3[[#This Row],[INTEREST]]),"")</f>
        <v>6057.2117766979645</v>
      </c>
    </row>
    <row r="23" spans="2:11">
      <c r="B23" s="4">
        <f>IF(LoanIsGood,IF(ROW()-ROW(PaymentSchedule3[[#Headers],[PMT NO]])&gt;ScheduledNumberOfPayments,"",ROW()-ROW(PaymentSchedule3[[#Headers],[PMT NO]])),"")</f>
        <v>7</v>
      </c>
      <c r="C23" s="5">
        <f>IF(PaymentSchedule3[[#This Row],[PMT NO]]&lt;&gt;"",EOMONTH(LoanStartDate,ROW(PaymentSchedule3[[#This Row],[PMT NO]])-ROW(PaymentSchedule3[[#Headers],[PMT NO]])-2)+DAY(LoanStartDate),"")</f>
        <v>44256</v>
      </c>
      <c r="D23" s="7">
        <f>IF(PaymentSchedule3[[#This Row],[PMT NO]]&lt;&gt;"",IF(ROW()-ROW(PaymentSchedule3[[#Headers],[BEGINNING BALANCE]])=1,LoanAmount,INDEX([ENDING BALANCE],ROW()-ROW(PaymentSchedule3[[#Headers],[BEGINNING BALANCE]])-1)),"")</f>
        <v>317110.83063760231</v>
      </c>
      <c r="E23" s="7">
        <f>IF(PaymentSchedule3[[#This Row],[PMT NO]]&lt;&gt;"",ScheduledPayment,"")</f>
        <v>1491.0635231826082</v>
      </c>
      <c r="F2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 s="7">
        <f>IF(PaymentSchedule3[[#This Row],[PMT NO]]&lt;&gt;"",PaymentSchedule3[[#This Row],[TOTAL PAYMENT]]-PaymentSchedule3[[#This Row],[INTEREST]],"")</f>
        <v>486.87922616353421</v>
      </c>
      <c r="I23" s="7">
        <f>IF(PaymentSchedule3[[#This Row],[PMT NO]]&lt;&gt;"",PaymentSchedule3[[#This Row],[BEGINNING BALANCE]]*(InterestRate/PaymentsPerYear),"")</f>
        <v>1004.1842970190739</v>
      </c>
      <c r="J23" s="7">
        <f>IF(PaymentSchedule3[[#This Row],[PMT NO]]&lt;&gt;"",IF(PaymentSchedule3[[#This Row],[SCHEDULED PAYMENT]]+PaymentSchedule3[[#This Row],[EXTRA PAYMENT]]&lt;=PaymentSchedule3[[#This Row],[BEGINNING BALANCE]],PaymentSchedule3[[#This Row],[BEGINNING BALANCE]]-PaymentSchedule3[[#This Row],[PRINCIPAL]],0),"")</f>
        <v>316623.95141143876</v>
      </c>
      <c r="K23" s="7">
        <f>IF(PaymentSchedule3[[#This Row],[PMT NO]]&lt;&gt;"",SUM(INDEX([INTEREST],1,1):PaymentSchedule3[[#This Row],[INTEREST]]),"")</f>
        <v>7061.3960737170382</v>
      </c>
    </row>
    <row r="24" spans="2:11">
      <c r="B24" s="4">
        <f>IF(LoanIsGood,IF(ROW()-ROW(PaymentSchedule3[[#Headers],[PMT NO]])&gt;ScheduledNumberOfPayments,"",ROW()-ROW(PaymentSchedule3[[#Headers],[PMT NO]])),"")</f>
        <v>8</v>
      </c>
      <c r="C24" s="5">
        <f>IF(PaymentSchedule3[[#This Row],[PMT NO]]&lt;&gt;"",EOMONTH(LoanStartDate,ROW(PaymentSchedule3[[#This Row],[PMT NO]])-ROW(PaymentSchedule3[[#Headers],[PMT NO]])-2)+DAY(LoanStartDate),"")</f>
        <v>44287</v>
      </c>
      <c r="D24" s="7">
        <f>IF(PaymentSchedule3[[#This Row],[PMT NO]]&lt;&gt;"",IF(ROW()-ROW(PaymentSchedule3[[#Headers],[BEGINNING BALANCE]])=1,LoanAmount,INDEX([ENDING BALANCE],ROW()-ROW(PaymentSchedule3[[#Headers],[BEGINNING BALANCE]])-1)),"")</f>
        <v>316623.95141143876</v>
      </c>
      <c r="E24" s="7">
        <f>IF(PaymentSchedule3[[#This Row],[PMT NO]]&lt;&gt;"",ScheduledPayment,"")</f>
        <v>1491.0635231826082</v>
      </c>
      <c r="F2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 s="7">
        <f>IF(PaymentSchedule3[[#This Row],[PMT NO]]&lt;&gt;"",PaymentSchedule3[[#This Row],[TOTAL PAYMENT]]-PaymentSchedule3[[#This Row],[INTEREST]],"")</f>
        <v>488.42101037971872</v>
      </c>
      <c r="I24" s="7">
        <f>IF(PaymentSchedule3[[#This Row],[PMT NO]]&lt;&gt;"",PaymentSchedule3[[#This Row],[BEGINNING BALANCE]]*(InterestRate/PaymentsPerYear),"")</f>
        <v>1002.6425128028894</v>
      </c>
      <c r="J24" s="7">
        <f>IF(PaymentSchedule3[[#This Row],[PMT NO]]&lt;&gt;"",IF(PaymentSchedule3[[#This Row],[SCHEDULED PAYMENT]]+PaymentSchedule3[[#This Row],[EXTRA PAYMENT]]&lt;=PaymentSchedule3[[#This Row],[BEGINNING BALANCE]],PaymentSchedule3[[#This Row],[BEGINNING BALANCE]]-PaymentSchedule3[[#This Row],[PRINCIPAL]],0),"")</f>
        <v>316135.53040105902</v>
      </c>
      <c r="K24" s="7">
        <f>IF(PaymentSchedule3[[#This Row],[PMT NO]]&lt;&gt;"",SUM(INDEX([INTEREST],1,1):PaymentSchedule3[[#This Row],[INTEREST]]),"")</f>
        <v>8064.0385865199278</v>
      </c>
    </row>
    <row r="25" spans="2:11">
      <c r="B25" s="4">
        <f>IF(LoanIsGood,IF(ROW()-ROW(PaymentSchedule3[[#Headers],[PMT NO]])&gt;ScheduledNumberOfPayments,"",ROW()-ROW(PaymentSchedule3[[#Headers],[PMT NO]])),"")</f>
        <v>9</v>
      </c>
      <c r="C25" s="5">
        <f>IF(PaymentSchedule3[[#This Row],[PMT NO]]&lt;&gt;"",EOMONTH(LoanStartDate,ROW(PaymentSchedule3[[#This Row],[PMT NO]])-ROW(PaymentSchedule3[[#Headers],[PMT NO]])-2)+DAY(LoanStartDate),"")</f>
        <v>44317</v>
      </c>
      <c r="D25" s="7">
        <f>IF(PaymentSchedule3[[#This Row],[PMT NO]]&lt;&gt;"",IF(ROW()-ROW(PaymentSchedule3[[#Headers],[BEGINNING BALANCE]])=1,LoanAmount,INDEX([ENDING BALANCE],ROW()-ROW(PaymentSchedule3[[#Headers],[BEGINNING BALANCE]])-1)),"")</f>
        <v>316135.53040105902</v>
      </c>
      <c r="E25" s="7">
        <f>IF(PaymentSchedule3[[#This Row],[PMT NO]]&lt;&gt;"",ScheduledPayment,"")</f>
        <v>1491.0635231826082</v>
      </c>
      <c r="F2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 s="7">
        <f>IF(PaymentSchedule3[[#This Row],[PMT NO]]&lt;&gt;"",PaymentSchedule3[[#This Row],[TOTAL PAYMENT]]-PaymentSchedule3[[#This Row],[INTEREST]],"")</f>
        <v>489.96767691258799</v>
      </c>
      <c r="I25" s="7">
        <f>IF(PaymentSchedule3[[#This Row],[PMT NO]]&lt;&gt;"",PaymentSchedule3[[#This Row],[BEGINNING BALANCE]]*(InterestRate/PaymentsPerYear),"")</f>
        <v>1001.0958462700202</v>
      </c>
      <c r="J25" s="7">
        <f>IF(PaymentSchedule3[[#This Row],[PMT NO]]&lt;&gt;"",IF(PaymentSchedule3[[#This Row],[SCHEDULED PAYMENT]]+PaymentSchedule3[[#This Row],[EXTRA PAYMENT]]&lt;=PaymentSchedule3[[#This Row],[BEGINNING BALANCE]],PaymentSchedule3[[#This Row],[BEGINNING BALANCE]]-PaymentSchedule3[[#This Row],[PRINCIPAL]],0),"")</f>
        <v>315645.56272414641</v>
      </c>
      <c r="K25" s="7">
        <f>IF(PaymentSchedule3[[#This Row],[PMT NO]]&lt;&gt;"",SUM(INDEX([INTEREST],1,1):PaymentSchedule3[[#This Row],[INTEREST]]),"")</f>
        <v>9065.1344327899478</v>
      </c>
    </row>
    <row r="26" spans="2:11">
      <c r="B26" s="4">
        <f>IF(LoanIsGood,IF(ROW()-ROW(PaymentSchedule3[[#Headers],[PMT NO]])&gt;ScheduledNumberOfPayments,"",ROW()-ROW(PaymentSchedule3[[#Headers],[PMT NO]])),"")</f>
        <v>10</v>
      </c>
      <c r="C26" s="5">
        <f>IF(PaymentSchedule3[[#This Row],[PMT NO]]&lt;&gt;"",EOMONTH(LoanStartDate,ROW(PaymentSchedule3[[#This Row],[PMT NO]])-ROW(PaymentSchedule3[[#Headers],[PMT NO]])-2)+DAY(LoanStartDate),"")</f>
        <v>44348</v>
      </c>
      <c r="D26" s="7">
        <f>IF(PaymentSchedule3[[#This Row],[PMT NO]]&lt;&gt;"",IF(ROW()-ROW(PaymentSchedule3[[#Headers],[BEGINNING BALANCE]])=1,LoanAmount,INDEX([ENDING BALANCE],ROW()-ROW(PaymentSchedule3[[#Headers],[BEGINNING BALANCE]])-1)),"")</f>
        <v>315645.56272414641</v>
      </c>
      <c r="E26" s="7">
        <f>IF(PaymentSchedule3[[#This Row],[PMT NO]]&lt;&gt;"",ScheduledPayment,"")</f>
        <v>1491.0635231826082</v>
      </c>
      <c r="F2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 s="7">
        <f>IF(PaymentSchedule3[[#This Row],[PMT NO]]&lt;&gt;"",PaymentSchedule3[[#This Row],[TOTAL PAYMENT]]-PaymentSchedule3[[#This Row],[INTEREST]],"")</f>
        <v>491.51924122281116</v>
      </c>
      <c r="I26" s="7">
        <f>IF(PaymentSchedule3[[#This Row],[PMT NO]]&lt;&gt;"",PaymentSchedule3[[#This Row],[BEGINNING BALANCE]]*(InterestRate/PaymentsPerYear),"")</f>
        <v>999.54428195979699</v>
      </c>
      <c r="J26" s="7">
        <f>IF(PaymentSchedule3[[#This Row],[PMT NO]]&lt;&gt;"",IF(PaymentSchedule3[[#This Row],[SCHEDULED PAYMENT]]+PaymentSchedule3[[#This Row],[EXTRA PAYMENT]]&lt;=PaymentSchedule3[[#This Row],[BEGINNING BALANCE]],PaymentSchedule3[[#This Row],[BEGINNING BALANCE]]-PaymentSchedule3[[#This Row],[PRINCIPAL]],0),"")</f>
        <v>315154.04348292359</v>
      </c>
      <c r="K26" s="7">
        <f>IF(PaymentSchedule3[[#This Row],[PMT NO]]&lt;&gt;"",SUM(INDEX([INTEREST],1,1):PaymentSchedule3[[#This Row],[INTEREST]]),"")</f>
        <v>10064.678714749745</v>
      </c>
    </row>
    <row r="27" spans="2:11">
      <c r="B27" s="4">
        <f>IF(LoanIsGood,IF(ROW()-ROW(PaymentSchedule3[[#Headers],[PMT NO]])&gt;ScheduledNumberOfPayments,"",ROW()-ROW(PaymentSchedule3[[#Headers],[PMT NO]])),"")</f>
        <v>11</v>
      </c>
      <c r="C27" s="5">
        <f>IF(PaymentSchedule3[[#This Row],[PMT NO]]&lt;&gt;"",EOMONTH(LoanStartDate,ROW(PaymentSchedule3[[#This Row],[PMT NO]])-ROW(PaymentSchedule3[[#Headers],[PMT NO]])-2)+DAY(LoanStartDate),"")</f>
        <v>44378</v>
      </c>
      <c r="D27" s="7">
        <f>IF(PaymentSchedule3[[#This Row],[PMT NO]]&lt;&gt;"",IF(ROW()-ROW(PaymentSchedule3[[#Headers],[BEGINNING BALANCE]])=1,LoanAmount,INDEX([ENDING BALANCE],ROW()-ROW(PaymentSchedule3[[#Headers],[BEGINNING BALANCE]])-1)),"")</f>
        <v>315154.04348292359</v>
      </c>
      <c r="E27" s="7">
        <f>IF(PaymentSchedule3[[#This Row],[PMT NO]]&lt;&gt;"",ScheduledPayment,"")</f>
        <v>1491.0635231826082</v>
      </c>
      <c r="F2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 s="7">
        <f>IF(PaymentSchedule3[[#This Row],[PMT NO]]&lt;&gt;"",PaymentSchedule3[[#This Row],[TOTAL PAYMENT]]-PaymentSchedule3[[#This Row],[INTEREST]],"")</f>
        <v>493.07571882001685</v>
      </c>
      <c r="I27" s="7">
        <f>IF(PaymentSchedule3[[#This Row],[PMT NO]]&lt;&gt;"",PaymentSchedule3[[#This Row],[BEGINNING BALANCE]]*(InterestRate/PaymentsPerYear),"")</f>
        <v>997.98780436259131</v>
      </c>
      <c r="J27" s="7">
        <f>IF(PaymentSchedule3[[#This Row],[PMT NO]]&lt;&gt;"",IF(PaymentSchedule3[[#This Row],[SCHEDULED PAYMENT]]+PaymentSchedule3[[#This Row],[EXTRA PAYMENT]]&lt;=PaymentSchedule3[[#This Row],[BEGINNING BALANCE]],PaymentSchedule3[[#This Row],[BEGINNING BALANCE]]-PaymentSchedule3[[#This Row],[PRINCIPAL]],0),"")</f>
        <v>314660.96776410355</v>
      </c>
      <c r="K27" s="7">
        <f>IF(PaymentSchedule3[[#This Row],[PMT NO]]&lt;&gt;"",SUM(INDEX([INTEREST],1,1):PaymentSchedule3[[#This Row],[INTEREST]]),"")</f>
        <v>11062.666519112336</v>
      </c>
    </row>
    <row r="28" spans="2:11">
      <c r="B28" s="4">
        <f>IF(LoanIsGood,IF(ROW()-ROW(PaymentSchedule3[[#Headers],[PMT NO]])&gt;ScheduledNumberOfPayments,"",ROW()-ROW(PaymentSchedule3[[#Headers],[PMT NO]])),"")</f>
        <v>12</v>
      </c>
      <c r="C28" s="5">
        <f>IF(PaymentSchedule3[[#This Row],[PMT NO]]&lt;&gt;"",EOMONTH(LoanStartDate,ROW(PaymentSchedule3[[#This Row],[PMT NO]])-ROW(PaymentSchedule3[[#Headers],[PMT NO]])-2)+DAY(LoanStartDate),"")</f>
        <v>44409</v>
      </c>
      <c r="D28" s="7">
        <f>IF(PaymentSchedule3[[#This Row],[PMT NO]]&lt;&gt;"",IF(ROW()-ROW(PaymentSchedule3[[#Headers],[BEGINNING BALANCE]])=1,LoanAmount,INDEX([ENDING BALANCE],ROW()-ROW(PaymentSchedule3[[#Headers],[BEGINNING BALANCE]])-1)),"")</f>
        <v>314660.96776410355</v>
      </c>
      <c r="E28" s="7">
        <f>IF(PaymentSchedule3[[#This Row],[PMT NO]]&lt;&gt;"",ScheduledPayment,"")</f>
        <v>1491.0635231826082</v>
      </c>
      <c r="F2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 s="7">
        <f>IF(PaymentSchedule3[[#This Row],[PMT NO]]&lt;&gt;"",PaymentSchedule3[[#This Row],[TOTAL PAYMENT]]-PaymentSchedule3[[#This Row],[INTEREST]],"")</f>
        <v>494.63712526294694</v>
      </c>
      <c r="I28" s="7">
        <f>IF(PaymentSchedule3[[#This Row],[PMT NO]]&lt;&gt;"",PaymentSchedule3[[#This Row],[BEGINNING BALANCE]]*(InterestRate/PaymentsPerYear),"")</f>
        <v>996.42639791966121</v>
      </c>
      <c r="J28" s="7">
        <f>IF(PaymentSchedule3[[#This Row],[PMT NO]]&lt;&gt;"",IF(PaymentSchedule3[[#This Row],[SCHEDULED PAYMENT]]+PaymentSchedule3[[#This Row],[EXTRA PAYMENT]]&lt;=PaymentSchedule3[[#This Row],[BEGINNING BALANCE]],PaymentSchedule3[[#This Row],[BEGINNING BALANCE]]-PaymentSchedule3[[#This Row],[PRINCIPAL]],0),"")</f>
        <v>314166.33063884062</v>
      </c>
      <c r="K28" s="7">
        <f>IF(PaymentSchedule3[[#This Row],[PMT NO]]&lt;&gt;"",SUM(INDEX([INTEREST],1,1):PaymentSchedule3[[#This Row],[INTEREST]]),"")</f>
        <v>12059.092917031998</v>
      </c>
    </row>
    <row r="29" spans="2:11">
      <c r="B29" s="4">
        <f>IF(LoanIsGood,IF(ROW()-ROW(PaymentSchedule3[[#Headers],[PMT NO]])&gt;ScheduledNumberOfPayments,"",ROW()-ROW(PaymentSchedule3[[#Headers],[PMT NO]])),"")</f>
        <v>13</v>
      </c>
      <c r="C29" s="5">
        <f>IF(PaymentSchedule3[[#This Row],[PMT NO]]&lt;&gt;"",EOMONTH(LoanStartDate,ROW(PaymentSchedule3[[#This Row],[PMT NO]])-ROW(PaymentSchedule3[[#Headers],[PMT NO]])-2)+DAY(LoanStartDate),"")</f>
        <v>44440</v>
      </c>
      <c r="D29" s="7">
        <f>IF(PaymentSchedule3[[#This Row],[PMT NO]]&lt;&gt;"",IF(ROW()-ROW(PaymentSchedule3[[#Headers],[BEGINNING BALANCE]])=1,LoanAmount,INDEX([ENDING BALANCE],ROW()-ROW(PaymentSchedule3[[#Headers],[BEGINNING BALANCE]])-1)),"")</f>
        <v>314166.33063884062</v>
      </c>
      <c r="E29" s="7">
        <f>IF(PaymentSchedule3[[#This Row],[PMT NO]]&lt;&gt;"",ScheduledPayment,"")</f>
        <v>1491.0635231826082</v>
      </c>
      <c r="F2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 s="7">
        <f>IF(PaymentSchedule3[[#This Row],[PMT NO]]&lt;&gt;"",PaymentSchedule3[[#This Row],[TOTAL PAYMENT]]-PaymentSchedule3[[#This Row],[INTEREST]],"")</f>
        <v>496.20347615961293</v>
      </c>
      <c r="I29" s="7">
        <f>IF(PaymentSchedule3[[#This Row],[PMT NO]]&lt;&gt;"",PaymentSchedule3[[#This Row],[BEGINNING BALANCE]]*(InterestRate/PaymentsPerYear),"")</f>
        <v>994.86004702299522</v>
      </c>
      <c r="J29" s="7">
        <f>IF(PaymentSchedule3[[#This Row],[PMT NO]]&lt;&gt;"",IF(PaymentSchedule3[[#This Row],[SCHEDULED PAYMENT]]+PaymentSchedule3[[#This Row],[EXTRA PAYMENT]]&lt;=PaymentSchedule3[[#This Row],[BEGINNING BALANCE]],PaymentSchedule3[[#This Row],[BEGINNING BALANCE]]-PaymentSchedule3[[#This Row],[PRINCIPAL]],0),"")</f>
        <v>313670.12716268102</v>
      </c>
      <c r="K29" s="7">
        <f>IF(PaymentSchedule3[[#This Row],[PMT NO]]&lt;&gt;"",SUM(INDEX([INTEREST],1,1):PaymentSchedule3[[#This Row],[INTEREST]]),"")</f>
        <v>13053.952964054994</v>
      </c>
    </row>
    <row r="30" spans="2:11">
      <c r="B30" s="4">
        <f>IF(LoanIsGood,IF(ROW()-ROW(PaymentSchedule3[[#Headers],[PMT NO]])&gt;ScheduledNumberOfPayments,"",ROW()-ROW(PaymentSchedule3[[#Headers],[PMT NO]])),"")</f>
        <v>14</v>
      </c>
      <c r="C30" s="5">
        <f>IF(PaymentSchedule3[[#This Row],[PMT NO]]&lt;&gt;"",EOMONTH(LoanStartDate,ROW(PaymentSchedule3[[#This Row],[PMT NO]])-ROW(PaymentSchedule3[[#Headers],[PMT NO]])-2)+DAY(LoanStartDate),"")</f>
        <v>44470</v>
      </c>
      <c r="D30" s="7">
        <f>IF(PaymentSchedule3[[#This Row],[PMT NO]]&lt;&gt;"",IF(ROW()-ROW(PaymentSchedule3[[#Headers],[BEGINNING BALANCE]])=1,LoanAmount,INDEX([ENDING BALANCE],ROW()-ROW(PaymentSchedule3[[#Headers],[BEGINNING BALANCE]])-1)),"")</f>
        <v>313670.12716268102</v>
      </c>
      <c r="E30" s="7">
        <f>IF(PaymentSchedule3[[#This Row],[PMT NO]]&lt;&gt;"",ScheduledPayment,"")</f>
        <v>1491.0635231826082</v>
      </c>
      <c r="F3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 s="7">
        <f>IF(PaymentSchedule3[[#This Row],[PMT NO]]&lt;&gt;"",PaymentSchedule3[[#This Row],[TOTAL PAYMENT]]-PaymentSchedule3[[#This Row],[INTEREST]],"")</f>
        <v>497.77478716745156</v>
      </c>
      <c r="I30" s="7">
        <f>IF(PaymentSchedule3[[#This Row],[PMT NO]]&lt;&gt;"",PaymentSchedule3[[#This Row],[BEGINNING BALANCE]]*(InterestRate/PaymentsPerYear),"")</f>
        <v>993.28873601515659</v>
      </c>
      <c r="J30" s="7">
        <f>IF(PaymentSchedule3[[#This Row],[PMT NO]]&lt;&gt;"",IF(PaymentSchedule3[[#This Row],[SCHEDULED PAYMENT]]+PaymentSchedule3[[#This Row],[EXTRA PAYMENT]]&lt;=PaymentSchedule3[[#This Row],[BEGINNING BALANCE]],PaymentSchedule3[[#This Row],[BEGINNING BALANCE]]-PaymentSchedule3[[#This Row],[PRINCIPAL]],0),"")</f>
        <v>313172.35237551358</v>
      </c>
      <c r="K30" s="7">
        <f>IF(PaymentSchedule3[[#This Row],[PMT NO]]&lt;&gt;"",SUM(INDEX([INTEREST],1,1):PaymentSchedule3[[#This Row],[INTEREST]]),"")</f>
        <v>14047.24170007015</v>
      </c>
    </row>
    <row r="31" spans="2:11">
      <c r="B31" s="4">
        <f>IF(LoanIsGood,IF(ROW()-ROW(PaymentSchedule3[[#Headers],[PMT NO]])&gt;ScheduledNumberOfPayments,"",ROW()-ROW(PaymentSchedule3[[#Headers],[PMT NO]])),"")</f>
        <v>15</v>
      </c>
      <c r="C31" s="5">
        <f>IF(PaymentSchedule3[[#This Row],[PMT NO]]&lt;&gt;"",EOMONTH(LoanStartDate,ROW(PaymentSchedule3[[#This Row],[PMT NO]])-ROW(PaymentSchedule3[[#Headers],[PMT NO]])-2)+DAY(LoanStartDate),"")</f>
        <v>44501</v>
      </c>
      <c r="D31" s="7">
        <f>IF(PaymentSchedule3[[#This Row],[PMT NO]]&lt;&gt;"",IF(ROW()-ROW(PaymentSchedule3[[#Headers],[BEGINNING BALANCE]])=1,LoanAmount,INDEX([ENDING BALANCE],ROW()-ROW(PaymentSchedule3[[#Headers],[BEGINNING BALANCE]])-1)),"")</f>
        <v>313172.35237551358</v>
      </c>
      <c r="E31" s="7">
        <f>IF(PaymentSchedule3[[#This Row],[PMT NO]]&lt;&gt;"",ScheduledPayment,"")</f>
        <v>1491.0635231826082</v>
      </c>
      <c r="F3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 s="7">
        <f>IF(PaymentSchedule3[[#This Row],[PMT NO]]&lt;&gt;"",PaymentSchedule3[[#This Row],[TOTAL PAYMENT]]-PaymentSchedule3[[#This Row],[INTEREST]],"")</f>
        <v>499.3510739934818</v>
      </c>
      <c r="I31" s="7">
        <f>IF(PaymentSchedule3[[#This Row],[PMT NO]]&lt;&gt;"",PaymentSchedule3[[#This Row],[BEGINNING BALANCE]]*(InterestRate/PaymentsPerYear),"")</f>
        <v>991.71244918912635</v>
      </c>
      <c r="J31" s="7">
        <f>IF(PaymentSchedule3[[#This Row],[PMT NO]]&lt;&gt;"",IF(PaymentSchedule3[[#This Row],[SCHEDULED PAYMENT]]+PaymentSchedule3[[#This Row],[EXTRA PAYMENT]]&lt;=PaymentSchedule3[[#This Row],[BEGINNING BALANCE]],PaymentSchedule3[[#This Row],[BEGINNING BALANCE]]-PaymentSchedule3[[#This Row],[PRINCIPAL]],0),"")</f>
        <v>312673.0013015201</v>
      </c>
      <c r="K31" s="7">
        <f>IF(PaymentSchedule3[[#This Row],[PMT NO]]&lt;&gt;"",SUM(INDEX([INTEREST],1,1):PaymentSchedule3[[#This Row],[INTEREST]]),"")</f>
        <v>15038.954149259276</v>
      </c>
    </row>
    <row r="32" spans="2:11">
      <c r="B32" s="4">
        <f>IF(LoanIsGood,IF(ROW()-ROW(PaymentSchedule3[[#Headers],[PMT NO]])&gt;ScheduledNumberOfPayments,"",ROW()-ROW(PaymentSchedule3[[#Headers],[PMT NO]])),"")</f>
        <v>16</v>
      </c>
      <c r="C32" s="5">
        <f>IF(PaymentSchedule3[[#This Row],[PMT NO]]&lt;&gt;"",EOMONTH(LoanStartDate,ROW(PaymentSchedule3[[#This Row],[PMT NO]])-ROW(PaymentSchedule3[[#Headers],[PMT NO]])-2)+DAY(LoanStartDate),"")</f>
        <v>44531</v>
      </c>
      <c r="D32" s="7">
        <f>IF(PaymentSchedule3[[#This Row],[PMT NO]]&lt;&gt;"",IF(ROW()-ROW(PaymentSchedule3[[#Headers],[BEGINNING BALANCE]])=1,LoanAmount,INDEX([ENDING BALANCE],ROW()-ROW(PaymentSchedule3[[#Headers],[BEGINNING BALANCE]])-1)),"")</f>
        <v>312673.0013015201</v>
      </c>
      <c r="E32" s="7">
        <f>IF(PaymentSchedule3[[#This Row],[PMT NO]]&lt;&gt;"",ScheduledPayment,"")</f>
        <v>1491.0635231826082</v>
      </c>
      <c r="F3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 s="7">
        <f>IF(PaymentSchedule3[[#This Row],[PMT NO]]&lt;&gt;"",PaymentSchedule3[[#This Row],[TOTAL PAYMENT]]-PaymentSchedule3[[#This Row],[INTEREST]],"")</f>
        <v>500.93235239446119</v>
      </c>
      <c r="I32" s="7">
        <f>IF(PaymentSchedule3[[#This Row],[PMT NO]]&lt;&gt;"",PaymentSchedule3[[#This Row],[BEGINNING BALANCE]]*(InterestRate/PaymentsPerYear),"")</f>
        <v>990.13117078814696</v>
      </c>
      <c r="J32" s="7">
        <f>IF(PaymentSchedule3[[#This Row],[PMT NO]]&lt;&gt;"",IF(PaymentSchedule3[[#This Row],[SCHEDULED PAYMENT]]+PaymentSchedule3[[#This Row],[EXTRA PAYMENT]]&lt;=PaymentSchedule3[[#This Row],[BEGINNING BALANCE]],PaymentSchedule3[[#This Row],[BEGINNING BALANCE]]-PaymentSchedule3[[#This Row],[PRINCIPAL]],0),"")</f>
        <v>312172.06894912565</v>
      </c>
      <c r="K32" s="7">
        <f>IF(PaymentSchedule3[[#This Row],[PMT NO]]&lt;&gt;"",SUM(INDEX([INTEREST],1,1):PaymentSchedule3[[#This Row],[INTEREST]]),"")</f>
        <v>16029.085320047423</v>
      </c>
    </row>
    <row r="33" spans="2:11">
      <c r="B33" s="4">
        <f>IF(LoanIsGood,IF(ROW()-ROW(PaymentSchedule3[[#Headers],[PMT NO]])&gt;ScheduledNumberOfPayments,"",ROW()-ROW(PaymentSchedule3[[#Headers],[PMT NO]])),"")</f>
        <v>17</v>
      </c>
      <c r="C33" s="5">
        <f>IF(PaymentSchedule3[[#This Row],[PMT NO]]&lt;&gt;"",EOMONTH(LoanStartDate,ROW(PaymentSchedule3[[#This Row],[PMT NO]])-ROW(PaymentSchedule3[[#Headers],[PMT NO]])-2)+DAY(LoanStartDate),"")</f>
        <v>44562</v>
      </c>
      <c r="D33" s="7">
        <f>IF(PaymentSchedule3[[#This Row],[PMT NO]]&lt;&gt;"",IF(ROW()-ROW(PaymentSchedule3[[#Headers],[BEGINNING BALANCE]])=1,LoanAmount,INDEX([ENDING BALANCE],ROW()-ROW(PaymentSchedule3[[#Headers],[BEGINNING BALANCE]])-1)),"")</f>
        <v>312172.06894912565</v>
      </c>
      <c r="E33" s="7">
        <f>IF(PaymentSchedule3[[#This Row],[PMT NO]]&lt;&gt;"",ScheduledPayment,"")</f>
        <v>1491.0635231826082</v>
      </c>
      <c r="F3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 s="7">
        <f>IF(PaymentSchedule3[[#This Row],[PMT NO]]&lt;&gt;"",PaymentSchedule3[[#This Row],[TOTAL PAYMENT]]-PaymentSchedule3[[#This Row],[INTEREST]],"")</f>
        <v>502.51863817704361</v>
      </c>
      <c r="I33" s="7">
        <f>IF(PaymentSchedule3[[#This Row],[PMT NO]]&lt;&gt;"",PaymentSchedule3[[#This Row],[BEGINNING BALANCE]]*(InterestRate/PaymentsPerYear),"")</f>
        <v>988.54488500556454</v>
      </c>
      <c r="J33" s="7">
        <f>IF(PaymentSchedule3[[#This Row],[PMT NO]]&lt;&gt;"",IF(PaymentSchedule3[[#This Row],[SCHEDULED PAYMENT]]+PaymentSchedule3[[#This Row],[EXTRA PAYMENT]]&lt;=PaymentSchedule3[[#This Row],[BEGINNING BALANCE]],PaymentSchedule3[[#This Row],[BEGINNING BALANCE]]-PaymentSchedule3[[#This Row],[PRINCIPAL]],0),"")</f>
        <v>311669.55031094863</v>
      </c>
      <c r="K33" s="7">
        <f>IF(PaymentSchedule3[[#This Row],[PMT NO]]&lt;&gt;"",SUM(INDEX([INTEREST],1,1):PaymentSchedule3[[#This Row],[INTEREST]]),"")</f>
        <v>17017.630205052988</v>
      </c>
    </row>
    <row r="34" spans="2:11">
      <c r="B34" s="4">
        <f>IF(LoanIsGood,IF(ROW()-ROW(PaymentSchedule3[[#Headers],[PMT NO]])&gt;ScheduledNumberOfPayments,"",ROW()-ROW(PaymentSchedule3[[#Headers],[PMT NO]])),"")</f>
        <v>18</v>
      </c>
      <c r="C34" s="5">
        <f>IF(PaymentSchedule3[[#This Row],[PMT NO]]&lt;&gt;"",EOMONTH(LoanStartDate,ROW(PaymentSchedule3[[#This Row],[PMT NO]])-ROW(PaymentSchedule3[[#Headers],[PMT NO]])-2)+DAY(LoanStartDate),"")</f>
        <v>44593</v>
      </c>
      <c r="D34" s="7">
        <f>IF(PaymentSchedule3[[#This Row],[PMT NO]]&lt;&gt;"",IF(ROW()-ROW(PaymentSchedule3[[#Headers],[BEGINNING BALANCE]])=1,LoanAmount,INDEX([ENDING BALANCE],ROW()-ROW(PaymentSchedule3[[#Headers],[BEGINNING BALANCE]])-1)),"")</f>
        <v>311669.55031094863</v>
      </c>
      <c r="E34" s="7">
        <f>IF(PaymentSchedule3[[#This Row],[PMT NO]]&lt;&gt;"",ScheduledPayment,"")</f>
        <v>1491.0635231826082</v>
      </c>
      <c r="F3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 s="7">
        <f>IF(PaymentSchedule3[[#This Row],[PMT NO]]&lt;&gt;"",PaymentSchedule3[[#This Row],[TOTAL PAYMENT]]-PaymentSchedule3[[#This Row],[INTEREST]],"")</f>
        <v>504.10994719793746</v>
      </c>
      <c r="I34" s="7">
        <f>IF(PaymentSchedule3[[#This Row],[PMT NO]]&lt;&gt;"",PaymentSchedule3[[#This Row],[BEGINNING BALANCE]]*(InterestRate/PaymentsPerYear),"")</f>
        <v>986.95357598467069</v>
      </c>
      <c r="J34" s="7">
        <f>IF(PaymentSchedule3[[#This Row],[PMT NO]]&lt;&gt;"",IF(PaymentSchedule3[[#This Row],[SCHEDULED PAYMENT]]+PaymentSchedule3[[#This Row],[EXTRA PAYMENT]]&lt;=PaymentSchedule3[[#This Row],[BEGINNING BALANCE]],PaymentSchedule3[[#This Row],[BEGINNING BALANCE]]-PaymentSchedule3[[#This Row],[PRINCIPAL]],0),"")</f>
        <v>311165.44036375068</v>
      </c>
      <c r="K34" s="7">
        <f>IF(PaymentSchedule3[[#This Row],[PMT NO]]&lt;&gt;"",SUM(INDEX([INTEREST],1,1):PaymentSchedule3[[#This Row],[INTEREST]]),"")</f>
        <v>18004.583781037658</v>
      </c>
    </row>
    <row r="35" spans="2:11">
      <c r="B35" s="4">
        <f>IF(LoanIsGood,IF(ROW()-ROW(PaymentSchedule3[[#Headers],[PMT NO]])&gt;ScheduledNumberOfPayments,"",ROW()-ROW(PaymentSchedule3[[#Headers],[PMT NO]])),"")</f>
        <v>19</v>
      </c>
      <c r="C35" s="5">
        <f>IF(PaymentSchedule3[[#This Row],[PMT NO]]&lt;&gt;"",EOMONTH(LoanStartDate,ROW(PaymentSchedule3[[#This Row],[PMT NO]])-ROW(PaymentSchedule3[[#Headers],[PMT NO]])-2)+DAY(LoanStartDate),"")</f>
        <v>44621</v>
      </c>
      <c r="D35" s="7">
        <f>IF(PaymentSchedule3[[#This Row],[PMT NO]]&lt;&gt;"",IF(ROW()-ROW(PaymentSchedule3[[#Headers],[BEGINNING BALANCE]])=1,LoanAmount,INDEX([ENDING BALANCE],ROW()-ROW(PaymentSchedule3[[#Headers],[BEGINNING BALANCE]])-1)),"")</f>
        <v>311165.44036375068</v>
      </c>
      <c r="E35" s="7">
        <f>IF(PaymentSchedule3[[#This Row],[PMT NO]]&lt;&gt;"",ScheduledPayment,"")</f>
        <v>1491.0635231826082</v>
      </c>
      <c r="F3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 s="7">
        <f>IF(PaymentSchedule3[[#This Row],[PMT NO]]&lt;&gt;"",PaymentSchedule3[[#This Row],[TOTAL PAYMENT]]-PaymentSchedule3[[#This Row],[INTEREST]],"")</f>
        <v>505.70629536406432</v>
      </c>
      <c r="I35" s="7">
        <f>IF(PaymentSchedule3[[#This Row],[PMT NO]]&lt;&gt;"",PaymentSchedule3[[#This Row],[BEGINNING BALANCE]]*(InterestRate/PaymentsPerYear),"")</f>
        <v>985.35722781854383</v>
      </c>
      <c r="J35" s="7">
        <f>IF(PaymentSchedule3[[#This Row],[PMT NO]]&lt;&gt;"",IF(PaymentSchedule3[[#This Row],[SCHEDULED PAYMENT]]+PaymentSchedule3[[#This Row],[EXTRA PAYMENT]]&lt;=PaymentSchedule3[[#This Row],[BEGINNING BALANCE]],PaymentSchedule3[[#This Row],[BEGINNING BALANCE]]-PaymentSchedule3[[#This Row],[PRINCIPAL]],0),"")</f>
        <v>310659.73406838661</v>
      </c>
      <c r="K35" s="7">
        <f>IF(PaymentSchedule3[[#This Row],[PMT NO]]&lt;&gt;"",SUM(INDEX([INTEREST],1,1):PaymentSchedule3[[#This Row],[INTEREST]]),"")</f>
        <v>18989.9410088562</v>
      </c>
    </row>
    <row r="36" spans="2:11">
      <c r="B36" s="4">
        <f>IF(LoanIsGood,IF(ROW()-ROW(PaymentSchedule3[[#Headers],[PMT NO]])&gt;ScheduledNumberOfPayments,"",ROW()-ROW(PaymentSchedule3[[#Headers],[PMT NO]])),"")</f>
        <v>20</v>
      </c>
      <c r="C36" s="5">
        <f>IF(PaymentSchedule3[[#This Row],[PMT NO]]&lt;&gt;"",EOMONTH(LoanStartDate,ROW(PaymentSchedule3[[#This Row],[PMT NO]])-ROW(PaymentSchedule3[[#Headers],[PMT NO]])-2)+DAY(LoanStartDate),"")</f>
        <v>44652</v>
      </c>
      <c r="D36" s="7">
        <f>IF(PaymentSchedule3[[#This Row],[PMT NO]]&lt;&gt;"",IF(ROW()-ROW(PaymentSchedule3[[#Headers],[BEGINNING BALANCE]])=1,LoanAmount,INDEX([ENDING BALANCE],ROW()-ROW(PaymentSchedule3[[#Headers],[BEGINNING BALANCE]])-1)),"")</f>
        <v>310659.73406838661</v>
      </c>
      <c r="E36" s="7">
        <f>IF(PaymentSchedule3[[#This Row],[PMT NO]]&lt;&gt;"",ScheduledPayment,"")</f>
        <v>1491.0635231826082</v>
      </c>
      <c r="F3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 s="7">
        <f>IF(PaymentSchedule3[[#This Row],[PMT NO]]&lt;&gt;"",PaymentSchedule3[[#This Row],[TOTAL PAYMENT]]-PaymentSchedule3[[#This Row],[INTEREST]],"")</f>
        <v>507.30769863271723</v>
      </c>
      <c r="I36" s="7">
        <f>IF(PaymentSchedule3[[#This Row],[PMT NO]]&lt;&gt;"",PaymentSchedule3[[#This Row],[BEGINNING BALANCE]]*(InterestRate/PaymentsPerYear),"")</f>
        <v>983.75582454989092</v>
      </c>
      <c r="J36" s="7">
        <f>IF(PaymentSchedule3[[#This Row],[PMT NO]]&lt;&gt;"",IF(PaymentSchedule3[[#This Row],[SCHEDULED PAYMENT]]+PaymentSchedule3[[#This Row],[EXTRA PAYMENT]]&lt;=PaymentSchedule3[[#This Row],[BEGINNING BALANCE]],PaymentSchedule3[[#This Row],[BEGINNING BALANCE]]-PaymentSchedule3[[#This Row],[PRINCIPAL]],0),"")</f>
        <v>310152.4263697539</v>
      </c>
      <c r="K36" s="7">
        <f>IF(PaymentSchedule3[[#This Row],[PMT NO]]&lt;&gt;"",SUM(INDEX([INTEREST],1,1):PaymentSchedule3[[#This Row],[INTEREST]]),"")</f>
        <v>19973.696833406091</v>
      </c>
    </row>
    <row r="37" spans="2:11">
      <c r="B37" s="4">
        <f>IF(LoanIsGood,IF(ROW()-ROW(PaymentSchedule3[[#Headers],[PMT NO]])&gt;ScheduledNumberOfPayments,"",ROW()-ROW(PaymentSchedule3[[#Headers],[PMT NO]])),"")</f>
        <v>21</v>
      </c>
      <c r="C37" s="5">
        <f>IF(PaymentSchedule3[[#This Row],[PMT NO]]&lt;&gt;"",EOMONTH(LoanStartDate,ROW(PaymentSchedule3[[#This Row],[PMT NO]])-ROW(PaymentSchedule3[[#Headers],[PMT NO]])-2)+DAY(LoanStartDate),"")</f>
        <v>44682</v>
      </c>
      <c r="D37" s="7">
        <f>IF(PaymentSchedule3[[#This Row],[PMT NO]]&lt;&gt;"",IF(ROW()-ROW(PaymentSchedule3[[#Headers],[BEGINNING BALANCE]])=1,LoanAmount,INDEX([ENDING BALANCE],ROW()-ROW(PaymentSchedule3[[#Headers],[BEGINNING BALANCE]])-1)),"")</f>
        <v>310152.4263697539</v>
      </c>
      <c r="E37" s="7">
        <f>IF(PaymentSchedule3[[#This Row],[PMT NO]]&lt;&gt;"",ScheduledPayment,"")</f>
        <v>1491.0635231826082</v>
      </c>
      <c r="F3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7" s="7">
        <f>IF(PaymentSchedule3[[#This Row],[PMT NO]]&lt;&gt;"",PaymentSchedule3[[#This Row],[TOTAL PAYMENT]]-PaymentSchedule3[[#This Row],[INTEREST]],"")</f>
        <v>508.91417301172078</v>
      </c>
      <c r="I37" s="7">
        <f>IF(PaymentSchedule3[[#This Row],[PMT NO]]&lt;&gt;"",PaymentSchedule3[[#This Row],[BEGINNING BALANCE]]*(InterestRate/PaymentsPerYear),"")</f>
        <v>982.14935017088737</v>
      </c>
      <c r="J37" s="7">
        <f>IF(PaymentSchedule3[[#This Row],[PMT NO]]&lt;&gt;"",IF(PaymentSchedule3[[#This Row],[SCHEDULED PAYMENT]]+PaymentSchedule3[[#This Row],[EXTRA PAYMENT]]&lt;=PaymentSchedule3[[#This Row],[BEGINNING BALANCE]],PaymentSchedule3[[#This Row],[BEGINNING BALANCE]]-PaymentSchedule3[[#This Row],[PRINCIPAL]],0),"")</f>
        <v>309643.51219674217</v>
      </c>
      <c r="K37" s="7">
        <f>IF(PaymentSchedule3[[#This Row],[PMT NO]]&lt;&gt;"",SUM(INDEX([INTEREST],1,1):PaymentSchedule3[[#This Row],[INTEREST]]),"")</f>
        <v>20955.846183576978</v>
      </c>
    </row>
    <row r="38" spans="2:11">
      <c r="B38" s="4">
        <f>IF(LoanIsGood,IF(ROW()-ROW(PaymentSchedule3[[#Headers],[PMT NO]])&gt;ScheduledNumberOfPayments,"",ROW()-ROW(PaymentSchedule3[[#Headers],[PMT NO]])),"")</f>
        <v>22</v>
      </c>
      <c r="C38" s="5">
        <f>IF(PaymentSchedule3[[#This Row],[PMT NO]]&lt;&gt;"",EOMONTH(LoanStartDate,ROW(PaymentSchedule3[[#This Row],[PMT NO]])-ROW(PaymentSchedule3[[#Headers],[PMT NO]])-2)+DAY(LoanStartDate),"")</f>
        <v>44713</v>
      </c>
      <c r="D38" s="7">
        <f>IF(PaymentSchedule3[[#This Row],[PMT NO]]&lt;&gt;"",IF(ROW()-ROW(PaymentSchedule3[[#Headers],[BEGINNING BALANCE]])=1,LoanAmount,INDEX([ENDING BALANCE],ROW()-ROW(PaymentSchedule3[[#Headers],[BEGINNING BALANCE]])-1)),"")</f>
        <v>309643.51219674217</v>
      </c>
      <c r="E38" s="7">
        <f>IF(PaymentSchedule3[[#This Row],[PMT NO]]&lt;&gt;"",ScheduledPayment,"")</f>
        <v>1491.0635231826082</v>
      </c>
      <c r="F3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8" s="7">
        <f>IF(PaymentSchedule3[[#This Row],[PMT NO]]&lt;&gt;"",PaymentSchedule3[[#This Row],[TOTAL PAYMENT]]-PaymentSchedule3[[#This Row],[INTEREST]],"")</f>
        <v>510.52573455959134</v>
      </c>
      <c r="I38" s="7">
        <f>IF(PaymentSchedule3[[#This Row],[PMT NO]]&lt;&gt;"",PaymentSchedule3[[#This Row],[BEGINNING BALANCE]]*(InterestRate/PaymentsPerYear),"")</f>
        <v>980.53778862301681</v>
      </c>
      <c r="J38" s="7">
        <f>IF(PaymentSchedule3[[#This Row],[PMT NO]]&lt;&gt;"",IF(PaymentSchedule3[[#This Row],[SCHEDULED PAYMENT]]+PaymentSchedule3[[#This Row],[EXTRA PAYMENT]]&lt;=PaymentSchedule3[[#This Row],[BEGINNING BALANCE]],PaymentSchedule3[[#This Row],[BEGINNING BALANCE]]-PaymentSchedule3[[#This Row],[PRINCIPAL]],0),"")</f>
        <v>309132.9864621826</v>
      </c>
      <c r="K38" s="7">
        <f>IF(PaymentSchedule3[[#This Row],[PMT NO]]&lt;&gt;"",SUM(INDEX([INTEREST],1,1):PaymentSchedule3[[#This Row],[INTEREST]]),"")</f>
        <v>21936.383972199994</v>
      </c>
    </row>
    <row r="39" spans="2:11">
      <c r="B39" s="8">
        <f>IF(LoanIsGood,IF(ROW()-ROW(PaymentSchedule3[[#Headers],[PMT NO]])&gt;ScheduledNumberOfPayments,"",ROW()-ROW(PaymentSchedule3[[#Headers],[PMT NO]])),"")</f>
        <v>23</v>
      </c>
      <c r="C39" s="9">
        <f>IF(PaymentSchedule3[[#This Row],[PMT NO]]&lt;&gt;"",EOMONTH(LoanStartDate,ROW(PaymentSchedule3[[#This Row],[PMT NO]])-ROW(PaymentSchedule3[[#Headers],[PMT NO]])-2)+DAY(LoanStartDate),"")</f>
        <v>44743</v>
      </c>
      <c r="D39" s="10">
        <f>IF(PaymentSchedule3[[#This Row],[PMT NO]]&lt;&gt;"",IF(ROW()-ROW(PaymentSchedule3[[#Headers],[BEGINNING BALANCE]])=1,LoanAmount,INDEX([ENDING BALANCE],ROW()-ROW(PaymentSchedule3[[#Headers],[BEGINNING BALANCE]])-1)),"")</f>
        <v>309132.9864621826</v>
      </c>
      <c r="E39" s="10">
        <f>IF(PaymentSchedule3[[#This Row],[PMT NO]]&lt;&gt;"",ScheduledPayment,"")</f>
        <v>1491.0635231826082</v>
      </c>
      <c r="F39" s="10">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9" s="10">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9" s="10">
        <f>IF(PaymentSchedule3[[#This Row],[PMT NO]]&lt;&gt;"",PaymentSchedule3[[#This Row],[TOTAL PAYMENT]]-PaymentSchedule3[[#This Row],[INTEREST]],"")</f>
        <v>512.14239938569665</v>
      </c>
      <c r="I39" s="10">
        <f>IF(PaymentSchedule3[[#This Row],[PMT NO]]&lt;&gt;"",PaymentSchedule3[[#This Row],[BEGINNING BALANCE]]*(InterestRate/PaymentsPerYear),"")</f>
        <v>978.9211237969115</v>
      </c>
      <c r="J39" s="10">
        <f>IF(PaymentSchedule3[[#This Row],[PMT NO]]&lt;&gt;"",IF(PaymentSchedule3[[#This Row],[SCHEDULED PAYMENT]]+PaymentSchedule3[[#This Row],[EXTRA PAYMENT]]&lt;=PaymentSchedule3[[#This Row],[BEGINNING BALANCE]],PaymentSchedule3[[#This Row],[BEGINNING BALANCE]]-PaymentSchedule3[[#This Row],[PRINCIPAL]],0),"")</f>
        <v>308620.84406279691</v>
      </c>
      <c r="K39" s="10">
        <f>IF(PaymentSchedule3[[#This Row],[PMT NO]]&lt;&gt;"",SUM(INDEX([INTEREST],1,1):PaymentSchedule3[[#This Row],[INTEREST]]),"")</f>
        <v>22915.305095996904</v>
      </c>
    </row>
    <row r="40" spans="2:11">
      <c r="B40" s="4">
        <f>IF(LoanIsGood,IF(ROW()-ROW(PaymentSchedule3[[#Headers],[PMT NO]])&gt;ScheduledNumberOfPayments,"",ROW()-ROW(PaymentSchedule3[[#Headers],[PMT NO]])),"")</f>
        <v>24</v>
      </c>
      <c r="C40" s="5">
        <f>IF(PaymentSchedule3[[#This Row],[PMT NO]]&lt;&gt;"",EOMONTH(LoanStartDate,ROW(PaymentSchedule3[[#This Row],[PMT NO]])-ROW(PaymentSchedule3[[#Headers],[PMT NO]])-2)+DAY(LoanStartDate),"")</f>
        <v>44774</v>
      </c>
      <c r="D40" s="7">
        <f>IF(PaymentSchedule3[[#This Row],[PMT NO]]&lt;&gt;"",IF(ROW()-ROW(PaymentSchedule3[[#Headers],[BEGINNING BALANCE]])=1,LoanAmount,INDEX([ENDING BALANCE],ROW()-ROW(PaymentSchedule3[[#Headers],[BEGINNING BALANCE]])-1)),"")</f>
        <v>308620.84406279691</v>
      </c>
      <c r="E40" s="7">
        <f>IF(PaymentSchedule3[[#This Row],[PMT NO]]&lt;&gt;"",ScheduledPayment,"")</f>
        <v>1491.0635231826082</v>
      </c>
      <c r="F4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40" s="7">
        <f>IF(PaymentSchedule3[[#This Row],[PMT NO]]&lt;&gt;"",PaymentSchedule3[[#This Row],[TOTAL PAYMENT]]-PaymentSchedule3[[#This Row],[INTEREST]],"")</f>
        <v>513.76418365041798</v>
      </c>
      <c r="I40" s="7">
        <f>IF(PaymentSchedule3[[#This Row],[PMT NO]]&lt;&gt;"",PaymentSchedule3[[#This Row],[BEGINNING BALANCE]]*(InterestRate/PaymentsPerYear),"")</f>
        <v>977.29933953219017</v>
      </c>
      <c r="J40" s="7">
        <f>IF(PaymentSchedule3[[#This Row],[PMT NO]]&lt;&gt;"",IF(PaymentSchedule3[[#This Row],[SCHEDULED PAYMENT]]+PaymentSchedule3[[#This Row],[EXTRA PAYMENT]]&lt;=PaymentSchedule3[[#This Row],[BEGINNING BALANCE]],PaymentSchedule3[[#This Row],[BEGINNING BALANCE]]-PaymentSchedule3[[#This Row],[PRINCIPAL]],0),"")</f>
        <v>308107.07987914648</v>
      </c>
      <c r="K40" s="7">
        <f>IF(PaymentSchedule3[[#This Row],[PMT NO]]&lt;&gt;"",SUM(INDEX([INTEREST],1,1):PaymentSchedule3[[#This Row],[INTEREST]]),"")</f>
        <v>23892.604435529094</v>
      </c>
    </row>
    <row r="41" spans="2:11">
      <c r="B41" s="4">
        <f>IF(LoanIsGood,IF(ROW()-ROW(PaymentSchedule3[[#Headers],[PMT NO]])&gt;ScheduledNumberOfPayments,"",ROW()-ROW(PaymentSchedule3[[#Headers],[PMT NO]])),"")</f>
        <v>25</v>
      </c>
      <c r="C41" s="5">
        <f>IF(PaymentSchedule3[[#This Row],[PMT NO]]&lt;&gt;"",EOMONTH(LoanStartDate,ROW(PaymentSchedule3[[#This Row],[PMT NO]])-ROW(PaymentSchedule3[[#Headers],[PMT NO]])-2)+DAY(LoanStartDate),"")</f>
        <v>44805</v>
      </c>
      <c r="D41" s="7">
        <f>IF(PaymentSchedule3[[#This Row],[PMT NO]]&lt;&gt;"",IF(ROW()-ROW(PaymentSchedule3[[#Headers],[BEGINNING BALANCE]])=1,LoanAmount,INDEX([ENDING BALANCE],ROW()-ROW(PaymentSchedule3[[#Headers],[BEGINNING BALANCE]])-1)),"")</f>
        <v>308107.07987914648</v>
      </c>
      <c r="E41" s="7">
        <f>IF(PaymentSchedule3[[#This Row],[PMT NO]]&lt;&gt;"",ScheduledPayment,"")</f>
        <v>1491.0635231826082</v>
      </c>
      <c r="F4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41" s="7">
        <f>IF(PaymentSchedule3[[#This Row],[PMT NO]]&lt;&gt;"",PaymentSchedule3[[#This Row],[TOTAL PAYMENT]]-PaymentSchedule3[[#This Row],[INTEREST]],"")</f>
        <v>515.39110356531103</v>
      </c>
      <c r="I41" s="7">
        <f>IF(PaymentSchedule3[[#This Row],[PMT NO]]&lt;&gt;"",PaymentSchedule3[[#This Row],[BEGINNING BALANCE]]*(InterestRate/PaymentsPerYear),"")</f>
        <v>975.67241961729712</v>
      </c>
      <c r="J41" s="7">
        <f>IF(PaymentSchedule3[[#This Row],[PMT NO]]&lt;&gt;"",IF(PaymentSchedule3[[#This Row],[SCHEDULED PAYMENT]]+PaymentSchedule3[[#This Row],[EXTRA PAYMENT]]&lt;=PaymentSchedule3[[#This Row],[BEGINNING BALANCE]],PaymentSchedule3[[#This Row],[BEGINNING BALANCE]]-PaymentSchedule3[[#This Row],[PRINCIPAL]],0),"")</f>
        <v>307591.68877558119</v>
      </c>
      <c r="K41" s="7">
        <f>IF(PaymentSchedule3[[#This Row],[PMT NO]]&lt;&gt;"",SUM(INDEX([INTEREST],1,1):PaymentSchedule3[[#This Row],[INTEREST]]),"")</f>
        <v>24868.276855146392</v>
      </c>
    </row>
    <row r="42" spans="2:11">
      <c r="B42" s="4">
        <f>IF(LoanIsGood,IF(ROW()-ROW(PaymentSchedule3[[#Headers],[PMT NO]])&gt;ScheduledNumberOfPayments,"",ROW()-ROW(PaymentSchedule3[[#Headers],[PMT NO]])),"")</f>
        <v>26</v>
      </c>
      <c r="C42" s="5">
        <f>IF(PaymentSchedule3[[#This Row],[PMT NO]]&lt;&gt;"",EOMONTH(LoanStartDate,ROW(PaymentSchedule3[[#This Row],[PMT NO]])-ROW(PaymentSchedule3[[#Headers],[PMT NO]])-2)+DAY(LoanStartDate),"")</f>
        <v>44835</v>
      </c>
      <c r="D42" s="7">
        <f>IF(PaymentSchedule3[[#This Row],[PMT NO]]&lt;&gt;"",IF(ROW()-ROW(PaymentSchedule3[[#Headers],[BEGINNING BALANCE]])=1,LoanAmount,INDEX([ENDING BALANCE],ROW()-ROW(PaymentSchedule3[[#Headers],[BEGINNING BALANCE]])-1)),"")</f>
        <v>307591.68877558119</v>
      </c>
      <c r="E42" s="7">
        <f>IF(PaymentSchedule3[[#This Row],[PMT NO]]&lt;&gt;"",ScheduledPayment,"")</f>
        <v>1491.0635231826082</v>
      </c>
      <c r="F4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42" s="7">
        <f>IF(PaymentSchedule3[[#This Row],[PMT NO]]&lt;&gt;"",PaymentSchedule3[[#This Row],[TOTAL PAYMENT]]-PaymentSchedule3[[#This Row],[INTEREST]],"")</f>
        <v>517.02317539326771</v>
      </c>
      <c r="I42" s="7">
        <f>IF(PaymentSchedule3[[#This Row],[PMT NO]]&lt;&gt;"",PaymentSchedule3[[#This Row],[BEGINNING BALANCE]]*(InterestRate/PaymentsPerYear),"")</f>
        <v>974.04034778934044</v>
      </c>
      <c r="J42" s="7">
        <f>IF(PaymentSchedule3[[#This Row],[PMT NO]]&lt;&gt;"",IF(PaymentSchedule3[[#This Row],[SCHEDULED PAYMENT]]+PaymentSchedule3[[#This Row],[EXTRA PAYMENT]]&lt;=PaymentSchedule3[[#This Row],[BEGINNING BALANCE]],PaymentSchedule3[[#This Row],[BEGINNING BALANCE]]-PaymentSchedule3[[#This Row],[PRINCIPAL]],0),"")</f>
        <v>307074.6656001879</v>
      </c>
      <c r="K42" s="7">
        <f>IF(PaymentSchedule3[[#This Row],[PMT NO]]&lt;&gt;"",SUM(INDEX([INTEREST],1,1):PaymentSchedule3[[#This Row],[INTEREST]]),"")</f>
        <v>25842.317202935734</v>
      </c>
    </row>
    <row r="43" spans="2:11">
      <c r="B43" s="4">
        <f>IF(LoanIsGood,IF(ROW()-ROW(PaymentSchedule3[[#Headers],[PMT NO]])&gt;ScheduledNumberOfPayments,"",ROW()-ROW(PaymentSchedule3[[#Headers],[PMT NO]])),"")</f>
        <v>27</v>
      </c>
      <c r="C43" s="5">
        <f>IF(PaymentSchedule3[[#This Row],[PMT NO]]&lt;&gt;"",EOMONTH(LoanStartDate,ROW(PaymentSchedule3[[#This Row],[PMT NO]])-ROW(PaymentSchedule3[[#Headers],[PMT NO]])-2)+DAY(LoanStartDate),"")</f>
        <v>44866</v>
      </c>
      <c r="D43" s="7">
        <f>IF(PaymentSchedule3[[#This Row],[PMT NO]]&lt;&gt;"",IF(ROW()-ROW(PaymentSchedule3[[#Headers],[BEGINNING BALANCE]])=1,LoanAmount,INDEX([ENDING BALANCE],ROW()-ROW(PaymentSchedule3[[#Headers],[BEGINNING BALANCE]])-1)),"")</f>
        <v>307074.6656001879</v>
      </c>
      <c r="E43" s="7">
        <f>IF(PaymentSchedule3[[#This Row],[PMT NO]]&lt;&gt;"",ScheduledPayment,"")</f>
        <v>1491.0635231826082</v>
      </c>
      <c r="F4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43" s="7">
        <f>IF(PaymentSchedule3[[#This Row],[PMT NO]]&lt;&gt;"",PaymentSchedule3[[#This Row],[TOTAL PAYMENT]]-PaymentSchedule3[[#This Row],[INTEREST]],"")</f>
        <v>518.66041544867983</v>
      </c>
      <c r="I43" s="7">
        <f>IF(PaymentSchedule3[[#This Row],[PMT NO]]&lt;&gt;"",PaymentSchedule3[[#This Row],[BEGINNING BALANCE]]*(InterestRate/PaymentsPerYear),"")</f>
        <v>972.40310773392832</v>
      </c>
      <c r="J43" s="7">
        <f>IF(PaymentSchedule3[[#This Row],[PMT NO]]&lt;&gt;"",IF(PaymentSchedule3[[#This Row],[SCHEDULED PAYMENT]]+PaymentSchedule3[[#This Row],[EXTRA PAYMENT]]&lt;=PaymentSchedule3[[#This Row],[BEGINNING BALANCE]],PaymentSchedule3[[#This Row],[BEGINNING BALANCE]]-PaymentSchedule3[[#This Row],[PRINCIPAL]],0),"")</f>
        <v>306556.00518473925</v>
      </c>
      <c r="K43" s="7">
        <f>IF(PaymentSchedule3[[#This Row],[PMT NO]]&lt;&gt;"",SUM(INDEX([INTEREST],1,1):PaymentSchedule3[[#This Row],[INTEREST]]),"")</f>
        <v>26814.720310669662</v>
      </c>
    </row>
    <row r="44" spans="2:11">
      <c r="B44" s="4">
        <f>IF(LoanIsGood,IF(ROW()-ROW(PaymentSchedule3[[#Headers],[PMT NO]])&gt;ScheduledNumberOfPayments,"",ROW()-ROW(PaymentSchedule3[[#Headers],[PMT NO]])),"")</f>
        <v>28</v>
      </c>
      <c r="C44" s="5">
        <f>IF(PaymentSchedule3[[#This Row],[PMT NO]]&lt;&gt;"",EOMONTH(LoanStartDate,ROW(PaymentSchedule3[[#This Row],[PMT NO]])-ROW(PaymentSchedule3[[#Headers],[PMT NO]])-2)+DAY(LoanStartDate),"")</f>
        <v>44896</v>
      </c>
      <c r="D44" s="7">
        <f>IF(PaymentSchedule3[[#This Row],[PMT NO]]&lt;&gt;"",IF(ROW()-ROW(PaymentSchedule3[[#Headers],[BEGINNING BALANCE]])=1,LoanAmount,INDEX([ENDING BALANCE],ROW()-ROW(PaymentSchedule3[[#Headers],[BEGINNING BALANCE]])-1)),"")</f>
        <v>306556.00518473925</v>
      </c>
      <c r="E44" s="7">
        <f>IF(PaymentSchedule3[[#This Row],[PMT NO]]&lt;&gt;"",ScheduledPayment,"")</f>
        <v>1491.0635231826082</v>
      </c>
      <c r="F4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44" s="7">
        <f>IF(PaymentSchedule3[[#This Row],[PMT NO]]&lt;&gt;"",PaymentSchedule3[[#This Row],[TOTAL PAYMENT]]-PaymentSchedule3[[#This Row],[INTEREST]],"")</f>
        <v>520.30284009760055</v>
      </c>
      <c r="I44" s="7">
        <f>IF(PaymentSchedule3[[#This Row],[PMT NO]]&lt;&gt;"",PaymentSchedule3[[#This Row],[BEGINNING BALANCE]]*(InterestRate/PaymentsPerYear),"")</f>
        <v>970.7606830850076</v>
      </c>
      <c r="J44" s="7">
        <f>IF(PaymentSchedule3[[#This Row],[PMT NO]]&lt;&gt;"",IF(PaymentSchedule3[[#This Row],[SCHEDULED PAYMENT]]+PaymentSchedule3[[#This Row],[EXTRA PAYMENT]]&lt;=PaymentSchedule3[[#This Row],[BEGINNING BALANCE]],PaymentSchedule3[[#This Row],[BEGINNING BALANCE]]-PaymentSchedule3[[#This Row],[PRINCIPAL]],0),"")</f>
        <v>306035.70234464167</v>
      </c>
      <c r="K44" s="7">
        <f>IF(PaymentSchedule3[[#This Row],[PMT NO]]&lt;&gt;"",SUM(INDEX([INTEREST],1,1):PaymentSchedule3[[#This Row],[INTEREST]]),"")</f>
        <v>27785.480993754671</v>
      </c>
    </row>
    <row r="45" spans="2:11">
      <c r="B45" s="4">
        <f>IF(LoanIsGood,IF(ROW()-ROW(PaymentSchedule3[[#Headers],[PMT NO]])&gt;ScheduledNumberOfPayments,"",ROW()-ROW(PaymentSchedule3[[#Headers],[PMT NO]])),"")</f>
        <v>29</v>
      </c>
      <c r="C45" s="5">
        <f>IF(PaymentSchedule3[[#This Row],[PMT NO]]&lt;&gt;"",EOMONTH(LoanStartDate,ROW(PaymentSchedule3[[#This Row],[PMT NO]])-ROW(PaymentSchedule3[[#Headers],[PMT NO]])-2)+DAY(LoanStartDate),"")</f>
        <v>44927</v>
      </c>
      <c r="D45" s="7">
        <f>IF(PaymentSchedule3[[#This Row],[PMT NO]]&lt;&gt;"",IF(ROW()-ROW(PaymentSchedule3[[#Headers],[BEGINNING BALANCE]])=1,LoanAmount,INDEX([ENDING BALANCE],ROW()-ROW(PaymentSchedule3[[#Headers],[BEGINNING BALANCE]])-1)),"")</f>
        <v>306035.70234464167</v>
      </c>
      <c r="E45" s="7">
        <f>IF(PaymentSchedule3[[#This Row],[PMT NO]]&lt;&gt;"",ScheduledPayment,"")</f>
        <v>1491.0635231826082</v>
      </c>
      <c r="F4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45" s="7">
        <f>IF(PaymentSchedule3[[#This Row],[PMT NO]]&lt;&gt;"",PaymentSchedule3[[#This Row],[TOTAL PAYMENT]]-PaymentSchedule3[[#This Row],[INTEREST]],"")</f>
        <v>521.95046575790957</v>
      </c>
      <c r="I45" s="7">
        <f>IF(PaymentSchedule3[[#This Row],[PMT NO]]&lt;&gt;"",PaymentSchedule3[[#This Row],[BEGINNING BALANCE]]*(InterestRate/PaymentsPerYear),"")</f>
        <v>969.11305742469858</v>
      </c>
      <c r="J45" s="7">
        <f>IF(PaymentSchedule3[[#This Row],[PMT NO]]&lt;&gt;"",IF(PaymentSchedule3[[#This Row],[SCHEDULED PAYMENT]]+PaymentSchedule3[[#This Row],[EXTRA PAYMENT]]&lt;=PaymentSchedule3[[#This Row],[BEGINNING BALANCE]],PaymentSchedule3[[#This Row],[BEGINNING BALANCE]]-PaymentSchedule3[[#This Row],[PRINCIPAL]],0),"")</f>
        <v>305513.75187888375</v>
      </c>
      <c r="K45" s="7">
        <f>IF(PaymentSchedule3[[#This Row],[PMT NO]]&lt;&gt;"",SUM(INDEX([INTEREST],1,1):PaymentSchedule3[[#This Row],[INTEREST]]),"")</f>
        <v>28754.594051179371</v>
      </c>
    </row>
    <row r="46" spans="2:11">
      <c r="B46" s="4">
        <f>IF(LoanIsGood,IF(ROW()-ROW(PaymentSchedule3[[#Headers],[PMT NO]])&gt;ScheduledNumberOfPayments,"",ROW()-ROW(PaymentSchedule3[[#Headers],[PMT NO]])),"")</f>
        <v>30</v>
      </c>
      <c r="C46" s="5">
        <f>IF(PaymentSchedule3[[#This Row],[PMT NO]]&lt;&gt;"",EOMONTH(LoanStartDate,ROW(PaymentSchedule3[[#This Row],[PMT NO]])-ROW(PaymentSchedule3[[#Headers],[PMT NO]])-2)+DAY(LoanStartDate),"")</f>
        <v>44958</v>
      </c>
      <c r="D46" s="7">
        <f>IF(PaymentSchedule3[[#This Row],[PMT NO]]&lt;&gt;"",IF(ROW()-ROW(PaymentSchedule3[[#Headers],[BEGINNING BALANCE]])=1,LoanAmount,INDEX([ENDING BALANCE],ROW()-ROW(PaymentSchedule3[[#Headers],[BEGINNING BALANCE]])-1)),"")</f>
        <v>305513.75187888375</v>
      </c>
      <c r="E46" s="7">
        <f>IF(PaymentSchedule3[[#This Row],[PMT NO]]&lt;&gt;"",ScheduledPayment,"")</f>
        <v>1491.0635231826082</v>
      </c>
      <c r="F4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46" s="7">
        <f>IF(PaymentSchedule3[[#This Row],[PMT NO]]&lt;&gt;"",PaymentSchedule3[[#This Row],[TOTAL PAYMENT]]-PaymentSchedule3[[#This Row],[INTEREST]],"")</f>
        <v>523.60330889947636</v>
      </c>
      <c r="I46" s="7">
        <f>IF(PaymentSchedule3[[#This Row],[PMT NO]]&lt;&gt;"",PaymentSchedule3[[#This Row],[BEGINNING BALANCE]]*(InterestRate/PaymentsPerYear),"")</f>
        <v>967.46021428313179</v>
      </c>
      <c r="J46" s="7">
        <f>IF(PaymentSchedule3[[#This Row],[PMT NO]]&lt;&gt;"",IF(PaymentSchedule3[[#This Row],[SCHEDULED PAYMENT]]+PaymentSchedule3[[#This Row],[EXTRA PAYMENT]]&lt;=PaymentSchedule3[[#This Row],[BEGINNING BALANCE]],PaymentSchedule3[[#This Row],[BEGINNING BALANCE]]-PaymentSchedule3[[#This Row],[PRINCIPAL]],0),"")</f>
        <v>304990.14856998425</v>
      </c>
      <c r="K46" s="7">
        <f>IF(PaymentSchedule3[[#This Row],[PMT NO]]&lt;&gt;"",SUM(INDEX([INTEREST],1,1):PaymentSchedule3[[#This Row],[INTEREST]]),"")</f>
        <v>29722.054265462502</v>
      </c>
    </row>
    <row r="47" spans="2:11">
      <c r="B47" s="4">
        <f>IF(LoanIsGood,IF(ROW()-ROW(PaymentSchedule3[[#Headers],[PMT NO]])&gt;ScheduledNumberOfPayments,"",ROW()-ROW(PaymentSchedule3[[#Headers],[PMT NO]])),"")</f>
        <v>31</v>
      </c>
      <c r="C47" s="5">
        <f>IF(PaymentSchedule3[[#This Row],[PMT NO]]&lt;&gt;"",EOMONTH(LoanStartDate,ROW(PaymentSchedule3[[#This Row],[PMT NO]])-ROW(PaymentSchedule3[[#Headers],[PMT NO]])-2)+DAY(LoanStartDate),"")</f>
        <v>44986</v>
      </c>
      <c r="D47" s="7">
        <f>IF(PaymentSchedule3[[#This Row],[PMT NO]]&lt;&gt;"",IF(ROW()-ROW(PaymentSchedule3[[#Headers],[BEGINNING BALANCE]])=1,LoanAmount,INDEX([ENDING BALANCE],ROW()-ROW(PaymentSchedule3[[#Headers],[BEGINNING BALANCE]])-1)),"")</f>
        <v>304990.14856998425</v>
      </c>
      <c r="E47" s="7">
        <f>IF(PaymentSchedule3[[#This Row],[PMT NO]]&lt;&gt;"",ScheduledPayment,"")</f>
        <v>1491.0635231826082</v>
      </c>
      <c r="F4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47" s="7">
        <f>IF(PaymentSchedule3[[#This Row],[PMT NO]]&lt;&gt;"",PaymentSchedule3[[#This Row],[TOTAL PAYMENT]]-PaymentSchedule3[[#This Row],[INTEREST]],"")</f>
        <v>525.26138604432469</v>
      </c>
      <c r="I47" s="7">
        <f>IF(PaymentSchedule3[[#This Row],[PMT NO]]&lt;&gt;"",PaymentSchedule3[[#This Row],[BEGINNING BALANCE]]*(InterestRate/PaymentsPerYear),"")</f>
        <v>965.80213713828346</v>
      </c>
      <c r="J47" s="7">
        <f>IF(PaymentSchedule3[[#This Row],[PMT NO]]&lt;&gt;"",IF(PaymentSchedule3[[#This Row],[SCHEDULED PAYMENT]]+PaymentSchedule3[[#This Row],[EXTRA PAYMENT]]&lt;=PaymentSchedule3[[#This Row],[BEGINNING BALANCE]],PaymentSchedule3[[#This Row],[BEGINNING BALANCE]]-PaymentSchedule3[[#This Row],[PRINCIPAL]],0),"")</f>
        <v>304464.88718393992</v>
      </c>
      <c r="K47" s="7">
        <f>IF(PaymentSchedule3[[#This Row],[PMT NO]]&lt;&gt;"",SUM(INDEX([INTEREST],1,1):PaymentSchedule3[[#This Row],[INTEREST]]),"")</f>
        <v>30687.856402600784</v>
      </c>
    </row>
    <row r="48" spans="2:11">
      <c r="B48" s="4">
        <f>IF(LoanIsGood,IF(ROW()-ROW(PaymentSchedule3[[#Headers],[PMT NO]])&gt;ScheduledNumberOfPayments,"",ROW()-ROW(PaymentSchedule3[[#Headers],[PMT NO]])),"")</f>
        <v>32</v>
      </c>
      <c r="C48" s="5">
        <f>IF(PaymentSchedule3[[#This Row],[PMT NO]]&lt;&gt;"",EOMONTH(LoanStartDate,ROW(PaymentSchedule3[[#This Row],[PMT NO]])-ROW(PaymentSchedule3[[#Headers],[PMT NO]])-2)+DAY(LoanStartDate),"")</f>
        <v>45017</v>
      </c>
      <c r="D48" s="7">
        <f>IF(PaymentSchedule3[[#This Row],[PMT NO]]&lt;&gt;"",IF(ROW()-ROW(PaymentSchedule3[[#Headers],[BEGINNING BALANCE]])=1,LoanAmount,INDEX([ENDING BALANCE],ROW()-ROW(PaymentSchedule3[[#Headers],[BEGINNING BALANCE]])-1)),"")</f>
        <v>304464.88718393992</v>
      </c>
      <c r="E48" s="7">
        <f>IF(PaymentSchedule3[[#This Row],[PMT NO]]&lt;&gt;"",ScheduledPayment,"")</f>
        <v>1491.0635231826082</v>
      </c>
      <c r="F4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48" s="7">
        <f>IF(PaymentSchedule3[[#This Row],[PMT NO]]&lt;&gt;"",PaymentSchedule3[[#This Row],[TOTAL PAYMENT]]-PaymentSchedule3[[#This Row],[INTEREST]],"")</f>
        <v>526.92471376679839</v>
      </c>
      <c r="I48" s="7">
        <f>IF(PaymentSchedule3[[#This Row],[PMT NO]]&lt;&gt;"",PaymentSchedule3[[#This Row],[BEGINNING BALANCE]]*(InterestRate/PaymentsPerYear),"")</f>
        <v>964.13880941580976</v>
      </c>
      <c r="J48" s="7">
        <f>IF(PaymentSchedule3[[#This Row],[PMT NO]]&lt;&gt;"",IF(PaymentSchedule3[[#This Row],[SCHEDULED PAYMENT]]+PaymentSchedule3[[#This Row],[EXTRA PAYMENT]]&lt;=PaymentSchedule3[[#This Row],[BEGINNING BALANCE]],PaymentSchedule3[[#This Row],[BEGINNING BALANCE]]-PaymentSchedule3[[#This Row],[PRINCIPAL]],0),"")</f>
        <v>303937.96247017314</v>
      </c>
      <c r="K48" s="7">
        <f>IF(PaymentSchedule3[[#This Row],[PMT NO]]&lt;&gt;"",SUM(INDEX([INTEREST],1,1):PaymentSchedule3[[#This Row],[INTEREST]]),"")</f>
        <v>31651.995212016594</v>
      </c>
    </row>
    <row r="49" spans="2:11">
      <c r="B49" s="4">
        <f>IF(LoanIsGood,IF(ROW()-ROW(PaymentSchedule3[[#Headers],[PMT NO]])&gt;ScheduledNumberOfPayments,"",ROW()-ROW(PaymentSchedule3[[#Headers],[PMT NO]])),"")</f>
        <v>33</v>
      </c>
      <c r="C49" s="5">
        <f>IF(PaymentSchedule3[[#This Row],[PMT NO]]&lt;&gt;"",EOMONTH(LoanStartDate,ROW(PaymentSchedule3[[#This Row],[PMT NO]])-ROW(PaymentSchedule3[[#Headers],[PMT NO]])-2)+DAY(LoanStartDate),"")</f>
        <v>45047</v>
      </c>
      <c r="D49" s="7">
        <f>IF(PaymentSchedule3[[#This Row],[PMT NO]]&lt;&gt;"",IF(ROW()-ROW(PaymentSchedule3[[#Headers],[BEGINNING BALANCE]])=1,LoanAmount,INDEX([ENDING BALANCE],ROW()-ROW(PaymentSchedule3[[#Headers],[BEGINNING BALANCE]])-1)),"")</f>
        <v>303937.96247017314</v>
      </c>
      <c r="E49" s="7">
        <f>IF(PaymentSchedule3[[#This Row],[PMT NO]]&lt;&gt;"",ScheduledPayment,"")</f>
        <v>1491.0635231826082</v>
      </c>
      <c r="F4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49" s="7">
        <f>IF(PaymentSchedule3[[#This Row],[PMT NO]]&lt;&gt;"",PaymentSchedule3[[#This Row],[TOTAL PAYMENT]]-PaymentSchedule3[[#This Row],[INTEREST]],"")</f>
        <v>528.59330869372661</v>
      </c>
      <c r="I49" s="7">
        <f>IF(PaymentSchedule3[[#This Row],[PMT NO]]&lt;&gt;"",PaymentSchedule3[[#This Row],[BEGINNING BALANCE]]*(InterestRate/PaymentsPerYear),"")</f>
        <v>962.47021448888154</v>
      </c>
      <c r="J49" s="7">
        <f>IF(PaymentSchedule3[[#This Row],[PMT NO]]&lt;&gt;"",IF(PaymentSchedule3[[#This Row],[SCHEDULED PAYMENT]]+PaymentSchedule3[[#This Row],[EXTRA PAYMENT]]&lt;=PaymentSchedule3[[#This Row],[BEGINNING BALANCE]],PaymentSchedule3[[#This Row],[BEGINNING BALANCE]]-PaymentSchedule3[[#This Row],[PRINCIPAL]],0),"")</f>
        <v>303409.36916147941</v>
      </c>
      <c r="K49" s="7">
        <f>IF(PaymentSchedule3[[#This Row],[PMT NO]]&lt;&gt;"",SUM(INDEX([INTEREST],1,1):PaymentSchedule3[[#This Row],[INTEREST]]),"")</f>
        <v>32614.465426505478</v>
      </c>
    </row>
    <row r="50" spans="2:11">
      <c r="B50" s="4">
        <f>IF(LoanIsGood,IF(ROW()-ROW(PaymentSchedule3[[#Headers],[PMT NO]])&gt;ScheduledNumberOfPayments,"",ROW()-ROW(PaymentSchedule3[[#Headers],[PMT NO]])),"")</f>
        <v>34</v>
      </c>
      <c r="C50" s="5">
        <f>IF(PaymentSchedule3[[#This Row],[PMT NO]]&lt;&gt;"",EOMONTH(LoanStartDate,ROW(PaymentSchedule3[[#This Row],[PMT NO]])-ROW(PaymentSchedule3[[#Headers],[PMT NO]])-2)+DAY(LoanStartDate),"")</f>
        <v>45078</v>
      </c>
      <c r="D50" s="7">
        <f>IF(PaymentSchedule3[[#This Row],[PMT NO]]&lt;&gt;"",IF(ROW()-ROW(PaymentSchedule3[[#Headers],[BEGINNING BALANCE]])=1,LoanAmount,INDEX([ENDING BALANCE],ROW()-ROW(PaymentSchedule3[[#Headers],[BEGINNING BALANCE]])-1)),"")</f>
        <v>303409.36916147941</v>
      </c>
      <c r="E50" s="7">
        <f>IF(PaymentSchedule3[[#This Row],[PMT NO]]&lt;&gt;"",ScheduledPayment,"")</f>
        <v>1491.0635231826082</v>
      </c>
      <c r="F5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50" s="7">
        <f>IF(PaymentSchedule3[[#This Row],[PMT NO]]&lt;&gt;"",PaymentSchedule3[[#This Row],[TOTAL PAYMENT]]-PaymentSchedule3[[#This Row],[INTEREST]],"")</f>
        <v>530.26718750459008</v>
      </c>
      <c r="I50" s="7">
        <f>IF(PaymentSchedule3[[#This Row],[PMT NO]]&lt;&gt;"",PaymentSchedule3[[#This Row],[BEGINNING BALANCE]]*(InterestRate/PaymentsPerYear),"")</f>
        <v>960.79633567801807</v>
      </c>
      <c r="J50" s="7">
        <f>IF(PaymentSchedule3[[#This Row],[PMT NO]]&lt;&gt;"",IF(PaymentSchedule3[[#This Row],[SCHEDULED PAYMENT]]+PaymentSchedule3[[#This Row],[EXTRA PAYMENT]]&lt;=PaymentSchedule3[[#This Row],[BEGINNING BALANCE]],PaymentSchedule3[[#This Row],[BEGINNING BALANCE]]-PaymentSchedule3[[#This Row],[PRINCIPAL]],0),"")</f>
        <v>302879.10197397484</v>
      </c>
      <c r="K50" s="7">
        <f>IF(PaymentSchedule3[[#This Row],[PMT NO]]&lt;&gt;"",SUM(INDEX([INTEREST],1,1):PaymentSchedule3[[#This Row],[INTEREST]]),"")</f>
        <v>33575.261762183494</v>
      </c>
    </row>
    <row r="51" spans="2:11">
      <c r="B51" s="4">
        <f>IF(LoanIsGood,IF(ROW()-ROW(PaymentSchedule3[[#Headers],[PMT NO]])&gt;ScheduledNumberOfPayments,"",ROW()-ROW(PaymentSchedule3[[#Headers],[PMT NO]])),"")</f>
        <v>35</v>
      </c>
      <c r="C51" s="5">
        <f>IF(PaymentSchedule3[[#This Row],[PMT NO]]&lt;&gt;"",EOMONTH(LoanStartDate,ROW(PaymentSchedule3[[#This Row],[PMT NO]])-ROW(PaymentSchedule3[[#Headers],[PMT NO]])-2)+DAY(LoanStartDate),"")</f>
        <v>45108</v>
      </c>
      <c r="D51" s="7">
        <f>IF(PaymentSchedule3[[#This Row],[PMT NO]]&lt;&gt;"",IF(ROW()-ROW(PaymentSchedule3[[#Headers],[BEGINNING BALANCE]])=1,LoanAmount,INDEX([ENDING BALANCE],ROW()-ROW(PaymentSchedule3[[#Headers],[BEGINNING BALANCE]])-1)),"")</f>
        <v>302879.10197397484</v>
      </c>
      <c r="E51" s="7">
        <f>IF(PaymentSchedule3[[#This Row],[PMT NO]]&lt;&gt;"",ScheduledPayment,"")</f>
        <v>1491.0635231826082</v>
      </c>
      <c r="F5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51" s="7">
        <f>IF(PaymentSchedule3[[#This Row],[PMT NO]]&lt;&gt;"",PaymentSchedule3[[#This Row],[TOTAL PAYMENT]]-PaymentSchedule3[[#This Row],[INTEREST]],"")</f>
        <v>531.94636693168786</v>
      </c>
      <c r="I51" s="7">
        <f>IF(PaymentSchedule3[[#This Row],[PMT NO]]&lt;&gt;"",PaymentSchedule3[[#This Row],[BEGINNING BALANCE]]*(InterestRate/PaymentsPerYear),"")</f>
        <v>959.11715625092029</v>
      </c>
      <c r="J51" s="7">
        <f>IF(PaymentSchedule3[[#This Row],[PMT NO]]&lt;&gt;"",IF(PaymentSchedule3[[#This Row],[SCHEDULED PAYMENT]]+PaymentSchedule3[[#This Row],[EXTRA PAYMENT]]&lt;=PaymentSchedule3[[#This Row],[BEGINNING BALANCE]],PaymentSchedule3[[#This Row],[BEGINNING BALANCE]]-PaymentSchedule3[[#This Row],[PRINCIPAL]],0),"")</f>
        <v>302347.15560704318</v>
      </c>
      <c r="K51" s="7">
        <f>IF(PaymentSchedule3[[#This Row],[PMT NO]]&lt;&gt;"",SUM(INDEX([INTEREST],1,1):PaymentSchedule3[[#This Row],[INTEREST]]),"")</f>
        <v>34534.378918434413</v>
      </c>
    </row>
    <row r="52" spans="2:11">
      <c r="B52" s="4">
        <f>IF(LoanIsGood,IF(ROW()-ROW(PaymentSchedule3[[#Headers],[PMT NO]])&gt;ScheduledNumberOfPayments,"",ROW()-ROW(PaymentSchedule3[[#Headers],[PMT NO]])),"")</f>
        <v>36</v>
      </c>
      <c r="C52" s="5">
        <f>IF(PaymentSchedule3[[#This Row],[PMT NO]]&lt;&gt;"",EOMONTH(LoanStartDate,ROW(PaymentSchedule3[[#This Row],[PMT NO]])-ROW(PaymentSchedule3[[#Headers],[PMT NO]])-2)+DAY(LoanStartDate),"")</f>
        <v>45139</v>
      </c>
      <c r="D52" s="7">
        <f>IF(PaymentSchedule3[[#This Row],[PMT NO]]&lt;&gt;"",IF(ROW()-ROW(PaymentSchedule3[[#Headers],[BEGINNING BALANCE]])=1,LoanAmount,INDEX([ENDING BALANCE],ROW()-ROW(PaymentSchedule3[[#Headers],[BEGINNING BALANCE]])-1)),"")</f>
        <v>302347.15560704318</v>
      </c>
      <c r="E52" s="7">
        <f>IF(PaymentSchedule3[[#This Row],[PMT NO]]&lt;&gt;"",ScheduledPayment,"")</f>
        <v>1491.0635231826082</v>
      </c>
      <c r="F5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52" s="7">
        <f>IF(PaymentSchedule3[[#This Row],[PMT NO]]&lt;&gt;"",PaymentSchedule3[[#This Row],[TOTAL PAYMENT]]-PaymentSchedule3[[#This Row],[INTEREST]],"")</f>
        <v>533.63086376030481</v>
      </c>
      <c r="I52" s="7">
        <f>IF(PaymentSchedule3[[#This Row],[PMT NO]]&lt;&gt;"",PaymentSchedule3[[#This Row],[BEGINNING BALANCE]]*(InterestRate/PaymentsPerYear),"")</f>
        <v>957.43265942230335</v>
      </c>
      <c r="J52" s="7">
        <f>IF(PaymentSchedule3[[#This Row],[PMT NO]]&lt;&gt;"",IF(PaymentSchedule3[[#This Row],[SCHEDULED PAYMENT]]+PaymentSchedule3[[#This Row],[EXTRA PAYMENT]]&lt;=PaymentSchedule3[[#This Row],[BEGINNING BALANCE]],PaymentSchedule3[[#This Row],[BEGINNING BALANCE]]-PaymentSchedule3[[#This Row],[PRINCIPAL]],0),"")</f>
        <v>301813.52474328288</v>
      </c>
      <c r="K52" s="7">
        <f>IF(PaymentSchedule3[[#This Row],[PMT NO]]&lt;&gt;"",SUM(INDEX([INTEREST],1,1):PaymentSchedule3[[#This Row],[INTEREST]]),"")</f>
        <v>35491.811577856715</v>
      </c>
    </row>
    <row r="53" spans="2:11">
      <c r="B53" s="4">
        <f>IF(LoanIsGood,IF(ROW()-ROW(PaymentSchedule3[[#Headers],[PMT NO]])&gt;ScheduledNumberOfPayments,"",ROW()-ROW(PaymentSchedule3[[#Headers],[PMT NO]])),"")</f>
        <v>37</v>
      </c>
      <c r="C53" s="5">
        <f>IF(PaymentSchedule3[[#This Row],[PMT NO]]&lt;&gt;"",EOMONTH(LoanStartDate,ROW(PaymentSchedule3[[#This Row],[PMT NO]])-ROW(PaymentSchedule3[[#Headers],[PMT NO]])-2)+DAY(LoanStartDate),"")</f>
        <v>45170</v>
      </c>
      <c r="D53" s="7">
        <f>IF(PaymentSchedule3[[#This Row],[PMT NO]]&lt;&gt;"",IF(ROW()-ROW(PaymentSchedule3[[#Headers],[BEGINNING BALANCE]])=1,LoanAmount,INDEX([ENDING BALANCE],ROW()-ROW(PaymentSchedule3[[#Headers],[BEGINNING BALANCE]])-1)),"")</f>
        <v>301813.52474328288</v>
      </c>
      <c r="E53" s="7">
        <f>IF(PaymentSchedule3[[#This Row],[PMT NO]]&lt;&gt;"",ScheduledPayment,"")</f>
        <v>1491.0635231826082</v>
      </c>
      <c r="F5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53" s="7">
        <f>IF(PaymentSchedule3[[#This Row],[PMT NO]]&lt;&gt;"",PaymentSchedule3[[#This Row],[TOTAL PAYMENT]]-PaymentSchedule3[[#This Row],[INTEREST]],"")</f>
        <v>535.32069482887903</v>
      </c>
      <c r="I53" s="7">
        <f>IF(PaymentSchedule3[[#This Row],[PMT NO]]&lt;&gt;"",PaymentSchedule3[[#This Row],[BEGINNING BALANCE]]*(InterestRate/PaymentsPerYear),"")</f>
        <v>955.74282835372912</v>
      </c>
      <c r="J53" s="7">
        <f>IF(PaymentSchedule3[[#This Row],[PMT NO]]&lt;&gt;"",IF(PaymentSchedule3[[#This Row],[SCHEDULED PAYMENT]]+PaymentSchedule3[[#This Row],[EXTRA PAYMENT]]&lt;=PaymentSchedule3[[#This Row],[BEGINNING BALANCE]],PaymentSchedule3[[#This Row],[BEGINNING BALANCE]]-PaymentSchedule3[[#This Row],[PRINCIPAL]],0),"")</f>
        <v>301278.204048454</v>
      </c>
      <c r="K53" s="7">
        <f>IF(PaymentSchedule3[[#This Row],[PMT NO]]&lt;&gt;"",SUM(INDEX([INTEREST],1,1):PaymentSchedule3[[#This Row],[INTEREST]]),"")</f>
        <v>36447.554406210445</v>
      </c>
    </row>
    <row r="54" spans="2:11">
      <c r="B54" s="4">
        <f>IF(LoanIsGood,IF(ROW()-ROW(PaymentSchedule3[[#Headers],[PMT NO]])&gt;ScheduledNumberOfPayments,"",ROW()-ROW(PaymentSchedule3[[#Headers],[PMT NO]])),"")</f>
        <v>38</v>
      </c>
      <c r="C54" s="5">
        <f>IF(PaymentSchedule3[[#This Row],[PMT NO]]&lt;&gt;"",EOMONTH(LoanStartDate,ROW(PaymentSchedule3[[#This Row],[PMT NO]])-ROW(PaymentSchedule3[[#Headers],[PMT NO]])-2)+DAY(LoanStartDate),"")</f>
        <v>45200</v>
      </c>
      <c r="D54" s="7">
        <f>IF(PaymentSchedule3[[#This Row],[PMT NO]]&lt;&gt;"",IF(ROW()-ROW(PaymentSchedule3[[#Headers],[BEGINNING BALANCE]])=1,LoanAmount,INDEX([ENDING BALANCE],ROW()-ROW(PaymentSchedule3[[#Headers],[BEGINNING BALANCE]])-1)),"")</f>
        <v>301278.204048454</v>
      </c>
      <c r="E54" s="7">
        <f>IF(PaymentSchedule3[[#This Row],[PMT NO]]&lt;&gt;"",ScheduledPayment,"")</f>
        <v>1491.0635231826082</v>
      </c>
      <c r="F5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54" s="7">
        <f>IF(PaymentSchedule3[[#This Row],[PMT NO]]&lt;&gt;"",PaymentSchedule3[[#This Row],[TOTAL PAYMENT]]-PaymentSchedule3[[#This Row],[INTEREST]],"")</f>
        <v>537.0158770291705</v>
      </c>
      <c r="I54" s="7">
        <f>IF(PaymentSchedule3[[#This Row],[PMT NO]]&lt;&gt;"",PaymentSchedule3[[#This Row],[BEGINNING BALANCE]]*(InterestRate/PaymentsPerYear),"")</f>
        <v>954.04764615343765</v>
      </c>
      <c r="J54" s="7">
        <f>IF(PaymentSchedule3[[#This Row],[PMT NO]]&lt;&gt;"",IF(PaymentSchedule3[[#This Row],[SCHEDULED PAYMENT]]+PaymentSchedule3[[#This Row],[EXTRA PAYMENT]]&lt;=PaymentSchedule3[[#This Row],[BEGINNING BALANCE]],PaymentSchedule3[[#This Row],[BEGINNING BALANCE]]-PaymentSchedule3[[#This Row],[PRINCIPAL]],0),"")</f>
        <v>300741.18817142484</v>
      </c>
      <c r="K54" s="7">
        <f>IF(PaymentSchedule3[[#This Row],[PMT NO]]&lt;&gt;"",SUM(INDEX([INTEREST],1,1):PaymentSchedule3[[#This Row],[INTEREST]]),"")</f>
        <v>37401.60205236388</v>
      </c>
    </row>
    <row r="55" spans="2:11">
      <c r="B55" s="4">
        <f>IF(LoanIsGood,IF(ROW()-ROW(PaymentSchedule3[[#Headers],[PMT NO]])&gt;ScheduledNumberOfPayments,"",ROW()-ROW(PaymentSchedule3[[#Headers],[PMT NO]])),"")</f>
        <v>39</v>
      </c>
      <c r="C55" s="5">
        <f>IF(PaymentSchedule3[[#This Row],[PMT NO]]&lt;&gt;"",EOMONTH(LoanStartDate,ROW(PaymentSchedule3[[#This Row],[PMT NO]])-ROW(PaymentSchedule3[[#Headers],[PMT NO]])-2)+DAY(LoanStartDate),"")</f>
        <v>45231</v>
      </c>
      <c r="D55" s="7">
        <f>IF(PaymentSchedule3[[#This Row],[PMT NO]]&lt;&gt;"",IF(ROW()-ROW(PaymentSchedule3[[#Headers],[BEGINNING BALANCE]])=1,LoanAmount,INDEX([ENDING BALANCE],ROW()-ROW(PaymentSchedule3[[#Headers],[BEGINNING BALANCE]])-1)),"")</f>
        <v>300741.18817142484</v>
      </c>
      <c r="E55" s="7">
        <f>IF(PaymentSchedule3[[#This Row],[PMT NO]]&lt;&gt;"",ScheduledPayment,"")</f>
        <v>1491.0635231826082</v>
      </c>
      <c r="F5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55" s="7">
        <f>IF(PaymentSchedule3[[#This Row],[PMT NO]]&lt;&gt;"",PaymentSchedule3[[#This Row],[TOTAL PAYMENT]]-PaymentSchedule3[[#This Row],[INTEREST]],"")</f>
        <v>538.71642730642952</v>
      </c>
      <c r="I55" s="7">
        <f>IF(PaymentSchedule3[[#This Row],[PMT NO]]&lt;&gt;"",PaymentSchedule3[[#This Row],[BEGINNING BALANCE]]*(InterestRate/PaymentsPerYear),"")</f>
        <v>952.34709587617863</v>
      </c>
      <c r="J55" s="7">
        <f>IF(PaymentSchedule3[[#This Row],[PMT NO]]&lt;&gt;"",IF(PaymentSchedule3[[#This Row],[SCHEDULED PAYMENT]]+PaymentSchedule3[[#This Row],[EXTRA PAYMENT]]&lt;=PaymentSchedule3[[#This Row],[BEGINNING BALANCE]],PaymentSchedule3[[#This Row],[BEGINNING BALANCE]]-PaymentSchedule3[[#This Row],[PRINCIPAL]],0),"")</f>
        <v>300202.47174411843</v>
      </c>
      <c r="K55" s="7">
        <f>IF(PaymentSchedule3[[#This Row],[PMT NO]]&lt;&gt;"",SUM(INDEX([INTEREST],1,1):PaymentSchedule3[[#This Row],[INTEREST]]),"")</f>
        <v>38353.949148240055</v>
      </c>
    </row>
    <row r="56" spans="2:11">
      <c r="B56" s="4">
        <f>IF(LoanIsGood,IF(ROW()-ROW(PaymentSchedule3[[#Headers],[PMT NO]])&gt;ScheduledNumberOfPayments,"",ROW()-ROW(PaymentSchedule3[[#Headers],[PMT NO]])),"")</f>
        <v>40</v>
      </c>
      <c r="C56" s="5">
        <f>IF(PaymentSchedule3[[#This Row],[PMT NO]]&lt;&gt;"",EOMONTH(LoanStartDate,ROW(PaymentSchedule3[[#This Row],[PMT NO]])-ROW(PaymentSchedule3[[#Headers],[PMT NO]])-2)+DAY(LoanStartDate),"")</f>
        <v>45261</v>
      </c>
      <c r="D56" s="7">
        <f>IF(PaymentSchedule3[[#This Row],[PMT NO]]&lt;&gt;"",IF(ROW()-ROW(PaymentSchedule3[[#Headers],[BEGINNING BALANCE]])=1,LoanAmount,INDEX([ENDING BALANCE],ROW()-ROW(PaymentSchedule3[[#Headers],[BEGINNING BALANCE]])-1)),"")</f>
        <v>300202.47174411843</v>
      </c>
      <c r="E56" s="7">
        <f>IF(PaymentSchedule3[[#This Row],[PMT NO]]&lt;&gt;"",ScheduledPayment,"")</f>
        <v>1491.0635231826082</v>
      </c>
      <c r="F5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56" s="7">
        <f>IF(PaymentSchedule3[[#This Row],[PMT NO]]&lt;&gt;"",PaymentSchedule3[[#This Row],[TOTAL PAYMENT]]-PaymentSchedule3[[#This Row],[INTEREST]],"")</f>
        <v>540.42236265956649</v>
      </c>
      <c r="I56" s="7">
        <f>IF(PaymentSchedule3[[#This Row],[PMT NO]]&lt;&gt;"",PaymentSchedule3[[#This Row],[BEGINNING BALANCE]]*(InterestRate/PaymentsPerYear),"")</f>
        <v>950.64116052304166</v>
      </c>
      <c r="J56" s="7">
        <f>IF(PaymentSchedule3[[#This Row],[PMT NO]]&lt;&gt;"",IF(PaymentSchedule3[[#This Row],[SCHEDULED PAYMENT]]+PaymentSchedule3[[#This Row],[EXTRA PAYMENT]]&lt;=PaymentSchedule3[[#This Row],[BEGINNING BALANCE]],PaymentSchedule3[[#This Row],[BEGINNING BALANCE]]-PaymentSchedule3[[#This Row],[PRINCIPAL]],0),"")</f>
        <v>299662.04938145884</v>
      </c>
      <c r="K56" s="7">
        <f>IF(PaymentSchedule3[[#This Row],[PMT NO]]&lt;&gt;"",SUM(INDEX([INTEREST],1,1):PaymentSchedule3[[#This Row],[INTEREST]]),"")</f>
        <v>39304.590308763094</v>
      </c>
    </row>
    <row r="57" spans="2:11">
      <c r="B57" s="4">
        <f>IF(LoanIsGood,IF(ROW()-ROW(PaymentSchedule3[[#Headers],[PMT NO]])&gt;ScheduledNumberOfPayments,"",ROW()-ROW(PaymentSchedule3[[#Headers],[PMT NO]])),"")</f>
        <v>41</v>
      </c>
      <c r="C57" s="5">
        <f>IF(PaymentSchedule3[[#This Row],[PMT NO]]&lt;&gt;"",EOMONTH(LoanStartDate,ROW(PaymentSchedule3[[#This Row],[PMT NO]])-ROW(PaymentSchedule3[[#Headers],[PMT NO]])-2)+DAY(LoanStartDate),"")</f>
        <v>45292</v>
      </c>
      <c r="D57" s="7">
        <f>IF(PaymentSchedule3[[#This Row],[PMT NO]]&lt;&gt;"",IF(ROW()-ROW(PaymentSchedule3[[#Headers],[BEGINNING BALANCE]])=1,LoanAmount,INDEX([ENDING BALANCE],ROW()-ROW(PaymentSchedule3[[#Headers],[BEGINNING BALANCE]])-1)),"")</f>
        <v>299662.04938145884</v>
      </c>
      <c r="E57" s="7">
        <f>IF(PaymentSchedule3[[#This Row],[PMT NO]]&lt;&gt;"",ScheduledPayment,"")</f>
        <v>1491.0635231826082</v>
      </c>
      <c r="F5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57" s="7">
        <f>IF(PaymentSchedule3[[#This Row],[PMT NO]]&lt;&gt;"",PaymentSchedule3[[#This Row],[TOTAL PAYMENT]]-PaymentSchedule3[[#This Row],[INTEREST]],"")</f>
        <v>542.13370014132181</v>
      </c>
      <c r="I57" s="7">
        <f>IF(PaymentSchedule3[[#This Row],[PMT NO]]&lt;&gt;"",PaymentSchedule3[[#This Row],[BEGINNING BALANCE]]*(InterestRate/PaymentsPerYear),"")</f>
        <v>948.92982304128634</v>
      </c>
      <c r="J57" s="7">
        <f>IF(PaymentSchedule3[[#This Row],[PMT NO]]&lt;&gt;"",IF(PaymentSchedule3[[#This Row],[SCHEDULED PAYMENT]]+PaymentSchedule3[[#This Row],[EXTRA PAYMENT]]&lt;=PaymentSchedule3[[#This Row],[BEGINNING BALANCE]],PaymentSchedule3[[#This Row],[BEGINNING BALANCE]]-PaymentSchedule3[[#This Row],[PRINCIPAL]],0),"")</f>
        <v>299119.91568131751</v>
      </c>
      <c r="K57" s="7">
        <f>IF(PaymentSchedule3[[#This Row],[PMT NO]]&lt;&gt;"",SUM(INDEX([INTEREST],1,1):PaymentSchedule3[[#This Row],[INTEREST]]),"")</f>
        <v>40253.520131804384</v>
      </c>
    </row>
    <row r="58" spans="2:11">
      <c r="B58" s="4">
        <f>IF(LoanIsGood,IF(ROW()-ROW(PaymentSchedule3[[#Headers],[PMT NO]])&gt;ScheduledNumberOfPayments,"",ROW()-ROW(PaymentSchedule3[[#Headers],[PMT NO]])),"")</f>
        <v>42</v>
      </c>
      <c r="C58" s="5">
        <f>IF(PaymentSchedule3[[#This Row],[PMT NO]]&lt;&gt;"",EOMONTH(LoanStartDate,ROW(PaymentSchedule3[[#This Row],[PMT NO]])-ROW(PaymentSchedule3[[#Headers],[PMT NO]])-2)+DAY(LoanStartDate),"")</f>
        <v>45323</v>
      </c>
      <c r="D58" s="7">
        <f>IF(PaymentSchedule3[[#This Row],[PMT NO]]&lt;&gt;"",IF(ROW()-ROW(PaymentSchedule3[[#Headers],[BEGINNING BALANCE]])=1,LoanAmount,INDEX([ENDING BALANCE],ROW()-ROW(PaymentSchedule3[[#Headers],[BEGINNING BALANCE]])-1)),"")</f>
        <v>299119.91568131751</v>
      </c>
      <c r="E58" s="7">
        <f>IF(PaymentSchedule3[[#This Row],[PMT NO]]&lt;&gt;"",ScheduledPayment,"")</f>
        <v>1491.0635231826082</v>
      </c>
      <c r="F5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58" s="7">
        <f>IF(PaymentSchedule3[[#This Row],[PMT NO]]&lt;&gt;"",PaymentSchedule3[[#This Row],[TOTAL PAYMENT]]-PaymentSchedule3[[#This Row],[INTEREST]],"")</f>
        <v>543.85045685843602</v>
      </c>
      <c r="I58" s="7">
        <f>IF(PaymentSchedule3[[#This Row],[PMT NO]]&lt;&gt;"",PaymentSchedule3[[#This Row],[BEGINNING BALANCE]]*(InterestRate/PaymentsPerYear),"")</f>
        <v>947.21306632417213</v>
      </c>
      <c r="J58" s="7">
        <f>IF(PaymentSchedule3[[#This Row],[PMT NO]]&lt;&gt;"",IF(PaymentSchedule3[[#This Row],[SCHEDULED PAYMENT]]+PaymentSchedule3[[#This Row],[EXTRA PAYMENT]]&lt;=PaymentSchedule3[[#This Row],[BEGINNING BALANCE]],PaymentSchedule3[[#This Row],[BEGINNING BALANCE]]-PaymentSchedule3[[#This Row],[PRINCIPAL]],0),"")</f>
        <v>298576.06522445905</v>
      </c>
      <c r="K58" s="7">
        <f>IF(PaymentSchedule3[[#This Row],[PMT NO]]&lt;&gt;"",SUM(INDEX([INTEREST],1,1):PaymentSchedule3[[#This Row],[INTEREST]]),"")</f>
        <v>41200.733198128553</v>
      </c>
    </row>
    <row r="59" spans="2:11">
      <c r="B59" s="4">
        <f>IF(LoanIsGood,IF(ROW()-ROW(PaymentSchedule3[[#Headers],[PMT NO]])&gt;ScheduledNumberOfPayments,"",ROW()-ROW(PaymentSchedule3[[#Headers],[PMT NO]])),"")</f>
        <v>43</v>
      </c>
      <c r="C59" s="5">
        <f>IF(PaymentSchedule3[[#This Row],[PMT NO]]&lt;&gt;"",EOMONTH(LoanStartDate,ROW(PaymentSchedule3[[#This Row],[PMT NO]])-ROW(PaymentSchedule3[[#Headers],[PMT NO]])-2)+DAY(LoanStartDate),"")</f>
        <v>45352</v>
      </c>
      <c r="D59" s="7">
        <f>IF(PaymentSchedule3[[#This Row],[PMT NO]]&lt;&gt;"",IF(ROW()-ROW(PaymentSchedule3[[#Headers],[BEGINNING BALANCE]])=1,LoanAmount,INDEX([ENDING BALANCE],ROW()-ROW(PaymentSchedule3[[#Headers],[BEGINNING BALANCE]])-1)),"")</f>
        <v>298576.06522445905</v>
      </c>
      <c r="E59" s="7">
        <f>IF(PaymentSchedule3[[#This Row],[PMT NO]]&lt;&gt;"",ScheduledPayment,"")</f>
        <v>1491.0635231826082</v>
      </c>
      <c r="F5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59" s="7">
        <f>IF(PaymentSchedule3[[#This Row],[PMT NO]]&lt;&gt;"",PaymentSchedule3[[#This Row],[TOTAL PAYMENT]]-PaymentSchedule3[[#This Row],[INTEREST]],"")</f>
        <v>545.57264997182119</v>
      </c>
      <c r="I59" s="7">
        <f>IF(PaymentSchedule3[[#This Row],[PMT NO]]&lt;&gt;"",PaymentSchedule3[[#This Row],[BEGINNING BALANCE]]*(InterestRate/PaymentsPerYear),"")</f>
        <v>945.49087321078696</v>
      </c>
      <c r="J59" s="7">
        <f>IF(PaymentSchedule3[[#This Row],[PMT NO]]&lt;&gt;"",IF(PaymentSchedule3[[#This Row],[SCHEDULED PAYMENT]]+PaymentSchedule3[[#This Row],[EXTRA PAYMENT]]&lt;=PaymentSchedule3[[#This Row],[BEGINNING BALANCE]],PaymentSchedule3[[#This Row],[BEGINNING BALANCE]]-PaymentSchedule3[[#This Row],[PRINCIPAL]],0),"")</f>
        <v>298030.49257448723</v>
      </c>
      <c r="K59" s="7">
        <f>IF(PaymentSchedule3[[#This Row],[PMT NO]]&lt;&gt;"",SUM(INDEX([INTEREST],1,1):PaymentSchedule3[[#This Row],[INTEREST]]),"")</f>
        <v>42146.22407133934</v>
      </c>
    </row>
    <row r="60" spans="2:11">
      <c r="B60" s="4">
        <f>IF(LoanIsGood,IF(ROW()-ROW(PaymentSchedule3[[#Headers],[PMT NO]])&gt;ScheduledNumberOfPayments,"",ROW()-ROW(PaymentSchedule3[[#Headers],[PMT NO]])),"")</f>
        <v>44</v>
      </c>
      <c r="C60" s="5">
        <f>IF(PaymentSchedule3[[#This Row],[PMT NO]]&lt;&gt;"",EOMONTH(LoanStartDate,ROW(PaymentSchedule3[[#This Row],[PMT NO]])-ROW(PaymentSchedule3[[#Headers],[PMT NO]])-2)+DAY(LoanStartDate),"")</f>
        <v>45383</v>
      </c>
      <c r="D60" s="7">
        <f>IF(PaymentSchedule3[[#This Row],[PMT NO]]&lt;&gt;"",IF(ROW()-ROW(PaymentSchedule3[[#Headers],[BEGINNING BALANCE]])=1,LoanAmount,INDEX([ENDING BALANCE],ROW()-ROW(PaymentSchedule3[[#Headers],[BEGINNING BALANCE]])-1)),"")</f>
        <v>298030.49257448723</v>
      </c>
      <c r="E60" s="7">
        <f>IF(PaymentSchedule3[[#This Row],[PMT NO]]&lt;&gt;"",ScheduledPayment,"")</f>
        <v>1491.0635231826082</v>
      </c>
      <c r="F6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60" s="7">
        <f>IF(PaymentSchedule3[[#This Row],[PMT NO]]&lt;&gt;"",PaymentSchedule3[[#This Row],[TOTAL PAYMENT]]-PaymentSchedule3[[#This Row],[INTEREST]],"")</f>
        <v>547.30029669673195</v>
      </c>
      <c r="I60" s="7">
        <f>IF(PaymentSchedule3[[#This Row],[PMT NO]]&lt;&gt;"",PaymentSchedule3[[#This Row],[BEGINNING BALANCE]]*(InterestRate/PaymentsPerYear),"")</f>
        <v>943.7632264858762</v>
      </c>
      <c r="J60" s="7">
        <f>IF(PaymentSchedule3[[#This Row],[PMT NO]]&lt;&gt;"",IF(PaymentSchedule3[[#This Row],[SCHEDULED PAYMENT]]+PaymentSchedule3[[#This Row],[EXTRA PAYMENT]]&lt;=PaymentSchedule3[[#This Row],[BEGINNING BALANCE]],PaymentSchedule3[[#This Row],[BEGINNING BALANCE]]-PaymentSchedule3[[#This Row],[PRINCIPAL]],0),"")</f>
        <v>297483.19227779051</v>
      </c>
      <c r="K60" s="7">
        <f>IF(PaymentSchedule3[[#This Row],[PMT NO]]&lt;&gt;"",SUM(INDEX([INTEREST],1,1):PaymentSchedule3[[#This Row],[INTEREST]]),"")</f>
        <v>43089.987297825217</v>
      </c>
    </row>
    <row r="61" spans="2:11">
      <c r="B61" s="4">
        <f>IF(LoanIsGood,IF(ROW()-ROW(PaymentSchedule3[[#Headers],[PMT NO]])&gt;ScheduledNumberOfPayments,"",ROW()-ROW(PaymentSchedule3[[#Headers],[PMT NO]])),"")</f>
        <v>45</v>
      </c>
      <c r="C61" s="5">
        <f>IF(PaymentSchedule3[[#This Row],[PMT NO]]&lt;&gt;"",EOMONTH(LoanStartDate,ROW(PaymentSchedule3[[#This Row],[PMT NO]])-ROW(PaymentSchedule3[[#Headers],[PMT NO]])-2)+DAY(LoanStartDate),"")</f>
        <v>45413</v>
      </c>
      <c r="D61" s="7">
        <f>IF(PaymentSchedule3[[#This Row],[PMT NO]]&lt;&gt;"",IF(ROW()-ROW(PaymentSchedule3[[#Headers],[BEGINNING BALANCE]])=1,LoanAmount,INDEX([ENDING BALANCE],ROW()-ROW(PaymentSchedule3[[#Headers],[BEGINNING BALANCE]])-1)),"")</f>
        <v>297483.19227779051</v>
      </c>
      <c r="E61" s="7">
        <f>IF(PaymentSchedule3[[#This Row],[PMT NO]]&lt;&gt;"",ScheduledPayment,"")</f>
        <v>1491.0635231826082</v>
      </c>
      <c r="F6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61" s="7">
        <f>IF(PaymentSchedule3[[#This Row],[PMT NO]]&lt;&gt;"",PaymentSchedule3[[#This Row],[TOTAL PAYMENT]]-PaymentSchedule3[[#This Row],[INTEREST]],"")</f>
        <v>549.03341430293824</v>
      </c>
      <c r="I61" s="7">
        <f>IF(PaymentSchedule3[[#This Row],[PMT NO]]&lt;&gt;"",PaymentSchedule3[[#This Row],[BEGINNING BALANCE]]*(InterestRate/PaymentsPerYear),"")</f>
        <v>942.03010887966991</v>
      </c>
      <c r="J61" s="7">
        <f>IF(PaymentSchedule3[[#This Row],[PMT NO]]&lt;&gt;"",IF(PaymentSchedule3[[#This Row],[SCHEDULED PAYMENT]]+PaymentSchedule3[[#This Row],[EXTRA PAYMENT]]&lt;=PaymentSchedule3[[#This Row],[BEGINNING BALANCE]],PaymentSchedule3[[#This Row],[BEGINNING BALANCE]]-PaymentSchedule3[[#This Row],[PRINCIPAL]],0),"")</f>
        <v>296934.1588634876</v>
      </c>
      <c r="K61" s="7">
        <f>IF(PaymentSchedule3[[#This Row],[PMT NO]]&lt;&gt;"",SUM(INDEX([INTEREST],1,1):PaymentSchedule3[[#This Row],[INTEREST]]),"")</f>
        <v>44032.017406704887</v>
      </c>
    </row>
    <row r="62" spans="2:11">
      <c r="B62" s="4">
        <f>IF(LoanIsGood,IF(ROW()-ROW(PaymentSchedule3[[#Headers],[PMT NO]])&gt;ScheduledNumberOfPayments,"",ROW()-ROW(PaymentSchedule3[[#Headers],[PMT NO]])),"")</f>
        <v>46</v>
      </c>
      <c r="C62" s="5">
        <f>IF(PaymentSchedule3[[#This Row],[PMT NO]]&lt;&gt;"",EOMONTH(LoanStartDate,ROW(PaymentSchedule3[[#This Row],[PMT NO]])-ROW(PaymentSchedule3[[#Headers],[PMT NO]])-2)+DAY(LoanStartDate),"")</f>
        <v>45444</v>
      </c>
      <c r="D62" s="7">
        <f>IF(PaymentSchedule3[[#This Row],[PMT NO]]&lt;&gt;"",IF(ROW()-ROW(PaymentSchedule3[[#Headers],[BEGINNING BALANCE]])=1,LoanAmount,INDEX([ENDING BALANCE],ROW()-ROW(PaymentSchedule3[[#Headers],[BEGINNING BALANCE]])-1)),"")</f>
        <v>296934.1588634876</v>
      </c>
      <c r="E62" s="7">
        <f>IF(PaymentSchedule3[[#This Row],[PMT NO]]&lt;&gt;"",ScheduledPayment,"")</f>
        <v>1491.0635231826082</v>
      </c>
      <c r="F6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62" s="7">
        <f>IF(PaymentSchedule3[[#This Row],[PMT NO]]&lt;&gt;"",PaymentSchedule3[[#This Row],[TOTAL PAYMENT]]-PaymentSchedule3[[#This Row],[INTEREST]],"")</f>
        <v>550.77202011489749</v>
      </c>
      <c r="I62" s="7">
        <f>IF(PaymentSchedule3[[#This Row],[PMT NO]]&lt;&gt;"",PaymentSchedule3[[#This Row],[BEGINNING BALANCE]]*(InterestRate/PaymentsPerYear),"")</f>
        <v>940.29150306771066</v>
      </c>
      <c r="J62" s="7">
        <f>IF(PaymentSchedule3[[#This Row],[PMT NO]]&lt;&gt;"",IF(PaymentSchedule3[[#This Row],[SCHEDULED PAYMENT]]+PaymentSchedule3[[#This Row],[EXTRA PAYMENT]]&lt;=PaymentSchedule3[[#This Row],[BEGINNING BALANCE]],PaymentSchedule3[[#This Row],[BEGINNING BALANCE]]-PaymentSchedule3[[#This Row],[PRINCIPAL]],0),"")</f>
        <v>296383.38684337272</v>
      </c>
      <c r="K62" s="7">
        <f>IF(PaymentSchedule3[[#This Row],[PMT NO]]&lt;&gt;"",SUM(INDEX([INTEREST],1,1):PaymentSchedule3[[#This Row],[INTEREST]]),"")</f>
        <v>44972.308909772597</v>
      </c>
    </row>
    <row r="63" spans="2:11">
      <c r="B63" s="4">
        <f>IF(LoanIsGood,IF(ROW()-ROW(PaymentSchedule3[[#Headers],[PMT NO]])&gt;ScheduledNumberOfPayments,"",ROW()-ROW(PaymentSchedule3[[#Headers],[PMT NO]])),"")</f>
        <v>47</v>
      </c>
      <c r="C63" s="5">
        <f>IF(PaymentSchedule3[[#This Row],[PMT NO]]&lt;&gt;"",EOMONTH(LoanStartDate,ROW(PaymentSchedule3[[#This Row],[PMT NO]])-ROW(PaymentSchedule3[[#Headers],[PMT NO]])-2)+DAY(LoanStartDate),"")</f>
        <v>45474</v>
      </c>
      <c r="D63" s="7">
        <f>IF(PaymentSchedule3[[#This Row],[PMT NO]]&lt;&gt;"",IF(ROW()-ROW(PaymentSchedule3[[#Headers],[BEGINNING BALANCE]])=1,LoanAmount,INDEX([ENDING BALANCE],ROW()-ROW(PaymentSchedule3[[#Headers],[BEGINNING BALANCE]])-1)),"")</f>
        <v>296383.38684337272</v>
      </c>
      <c r="E63" s="7">
        <f>IF(PaymentSchedule3[[#This Row],[PMT NO]]&lt;&gt;"",ScheduledPayment,"")</f>
        <v>1491.0635231826082</v>
      </c>
      <c r="F6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63" s="7">
        <f>IF(PaymentSchedule3[[#This Row],[PMT NO]]&lt;&gt;"",PaymentSchedule3[[#This Row],[TOTAL PAYMENT]]-PaymentSchedule3[[#This Row],[INTEREST]],"")</f>
        <v>552.51613151192794</v>
      </c>
      <c r="I63" s="7">
        <f>IF(PaymentSchedule3[[#This Row],[PMT NO]]&lt;&gt;"",PaymentSchedule3[[#This Row],[BEGINNING BALANCE]]*(InterestRate/PaymentsPerYear),"")</f>
        <v>938.54739167068021</v>
      </c>
      <c r="J63" s="7">
        <f>IF(PaymentSchedule3[[#This Row],[PMT NO]]&lt;&gt;"",IF(PaymentSchedule3[[#This Row],[SCHEDULED PAYMENT]]+PaymentSchedule3[[#This Row],[EXTRA PAYMENT]]&lt;=PaymentSchedule3[[#This Row],[BEGINNING BALANCE]],PaymentSchedule3[[#This Row],[BEGINNING BALANCE]]-PaymentSchedule3[[#This Row],[PRINCIPAL]],0),"")</f>
        <v>295830.87071186077</v>
      </c>
      <c r="K63" s="7">
        <f>IF(PaymentSchedule3[[#This Row],[PMT NO]]&lt;&gt;"",SUM(INDEX([INTEREST],1,1):PaymentSchedule3[[#This Row],[INTEREST]]),"")</f>
        <v>45910.85630144328</v>
      </c>
    </row>
    <row r="64" spans="2:11">
      <c r="B64" s="4">
        <f>IF(LoanIsGood,IF(ROW()-ROW(PaymentSchedule3[[#Headers],[PMT NO]])&gt;ScheduledNumberOfPayments,"",ROW()-ROW(PaymentSchedule3[[#Headers],[PMT NO]])),"")</f>
        <v>48</v>
      </c>
      <c r="C64" s="5">
        <f>IF(PaymentSchedule3[[#This Row],[PMT NO]]&lt;&gt;"",EOMONTH(LoanStartDate,ROW(PaymentSchedule3[[#This Row],[PMT NO]])-ROW(PaymentSchedule3[[#Headers],[PMT NO]])-2)+DAY(LoanStartDate),"")</f>
        <v>45505</v>
      </c>
      <c r="D64" s="7">
        <f>IF(PaymentSchedule3[[#This Row],[PMT NO]]&lt;&gt;"",IF(ROW()-ROW(PaymentSchedule3[[#Headers],[BEGINNING BALANCE]])=1,LoanAmount,INDEX([ENDING BALANCE],ROW()-ROW(PaymentSchedule3[[#Headers],[BEGINNING BALANCE]])-1)),"")</f>
        <v>295830.87071186077</v>
      </c>
      <c r="E64" s="7">
        <f>IF(PaymentSchedule3[[#This Row],[PMT NO]]&lt;&gt;"",ScheduledPayment,"")</f>
        <v>1491.0635231826082</v>
      </c>
      <c r="F6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64" s="7">
        <f>IF(PaymentSchedule3[[#This Row],[PMT NO]]&lt;&gt;"",PaymentSchedule3[[#This Row],[TOTAL PAYMENT]]-PaymentSchedule3[[#This Row],[INTEREST]],"")</f>
        <v>554.26576592838239</v>
      </c>
      <c r="I64" s="7">
        <f>IF(PaymentSchedule3[[#This Row],[PMT NO]]&lt;&gt;"",PaymentSchedule3[[#This Row],[BEGINNING BALANCE]]*(InterestRate/PaymentsPerYear),"")</f>
        <v>936.79775725422576</v>
      </c>
      <c r="J64" s="7">
        <f>IF(PaymentSchedule3[[#This Row],[PMT NO]]&lt;&gt;"",IF(PaymentSchedule3[[#This Row],[SCHEDULED PAYMENT]]+PaymentSchedule3[[#This Row],[EXTRA PAYMENT]]&lt;=PaymentSchedule3[[#This Row],[BEGINNING BALANCE]],PaymentSchedule3[[#This Row],[BEGINNING BALANCE]]-PaymentSchedule3[[#This Row],[PRINCIPAL]],0),"")</f>
        <v>295276.6049459324</v>
      </c>
      <c r="K64" s="7">
        <f>IF(PaymentSchedule3[[#This Row],[PMT NO]]&lt;&gt;"",SUM(INDEX([INTEREST],1,1):PaymentSchedule3[[#This Row],[INTEREST]]),"")</f>
        <v>46847.654058697502</v>
      </c>
    </row>
    <row r="65" spans="2:11">
      <c r="B65" s="4">
        <f>IF(LoanIsGood,IF(ROW()-ROW(PaymentSchedule3[[#Headers],[PMT NO]])&gt;ScheduledNumberOfPayments,"",ROW()-ROW(PaymentSchedule3[[#Headers],[PMT NO]])),"")</f>
        <v>49</v>
      </c>
      <c r="C65" s="5">
        <f>IF(PaymentSchedule3[[#This Row],[PMT NO]]&lt;&gt;"",EOMONTH(LoanStartDate,ROW(PaymentSchedule3[[#This Row],[PMT NO]])-ROW(PaymentSchedule3[[#Headers],[PMT NO]])-2)+DAY(LoanStartDate),"")</f>
        <v>45536</v>
      </c>
      <c r="D65" s="7">
        <f>IF(PaymentSchedule3[[#This Row],[PMT NO]]&lt;&gt;"",IF(ROW()-ROW(PaymentSchedule3[[#Headers],[BEGINNING BALANCE]])=1,LoanAmount,INDEX([ENDING BALANCE],ROW()-ROW(PaymentSchedule3[[#Headers],[BEGINNING BALANCE]])-1)),"")</f>
        <v>295276.6049459324</v>
      </c>
      <c r="E65" s="7">
        <f>IF(PaymentSchedule3[[#This Row],[PMT NO]]&lt;&gt;"",ScheduledPayment,"")</f>
        <v>1491.0635231826082</v>
      </c>
      <c r="F6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65" s="7">
        <f>IF(PaymentSchedule3[[#This Row],[PMT NO]]&lt;&gt;"",PaymentSchedule3[[#This Row],[TOTAL PAYMENT]]-PaymentSchedule3[[#This Row],[INTEREST]],"")</f>
        <v>556.02094085382225</v>
      </c>
      <c r="I65" s="7">
        <f>IF(PaymentSchedule3[[#This Row],[PMT NO]]&lt;&gt;"",PaymentSchedule3[[#This Row],[BEGINNING BALANCE]]*(InterestRate/PaymentsPerYear),"")</f>
        <v>935.0425823287859</v>
      </c>
      <c r="J65" s="7">
        <f>IF(PaymentSchedule3[[#This Row],[PMT NO]]&lt;&gt;"",IF(PaymentSchedule3[[#This Row],[SCHEDULED PAYMENT]]+PaymentSchedule3[[#This Row],[EXTRA PAYMENT]]&lt;=PaymentSchedule3[[#This Row],[BEGINNING BALANCE]],PaymentSchedule3[[#This Row],[BEGINNING BALANCE]]-PaymentSchedule3[[#This Row],[PRINCIPAL]],0),"")</f>
        <v>294720.58400507859</v>
      </c>
      <c r="K65" s="7">
        <f>IF(PaymentSchedule3[[#This Row],[PMT NO]]&lt;&gt;"",SUM(INDEX([INTEREST],1,1):PaymentSchedule3[[#This Row],[INTEREST]]),"")</f>
        <v>47782.69664102629</v>
      </c>
    </row>
    <row r="66" spans="2:11">
      <c r="B66" s="4">
        <f>IF(LoanIsGood,IF(ROW()-ROW(PaymentSchedule3[[#Headers],[PMT NO]])&gt;ScheduledNumberOfPayments,"",ROW()-ROW(PaymentSchedule3[[#Headers],[PMT NO]])),"")</f>
        <v>50</v>
      </c>
      <c r="C66" s="5">
        <f>IF(PaymentSchedule3[[#This Row],[PMT NO]]&lt;&gt;"",EOMONTH(LoanStartDate,ROW(PaymentSchedule3[[#This Row],[PMT NO]])-ROW(PaymentSchedule3[[#Headers],[PMT NO]])-2)+DAY(LoanStartDate),"")</f>
        <v>45566</v>
      </c>
      <c r="D66" s="7">
        <f>IF(PaymentSchedule3[[#This Row],[PMT NO]]&lt;&gt;"",IF(ROW()-ROW(PaymentSchedule3[[#Headers],[BEGINNING BALANCE]])=1,LoanAmount,INDEX([ENDING BALANCE],ROW()-ROW(PaymentSchedule3[[#Headers],[BEGINNING BALANCE]])-1)),"")</f>
        <v>294720.58400507859</v>
      </c>
      <c r="E66" s="7">
        <f>IF(PaymentSchedule3[[#This Row],[PMT NO]]&lt;&gt;"",ScheduledPayment,"")</f>
        <v>1491.0635231826082</v>
      </c>
      <c r="F6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66" s="7">
        <f>IF(PaymentSchedule3[[#This Row],[PMT NO]]&lt;&gt;"",PaymentSchedule3[[#This Row],[TOTAL PAYMENT]]-PaymentSchedule3[[#This Row],[INTEREST]],"")</f>
        <v>557.7816738331926</v>
      </c>
      <c r="I66" s="7">
        <f>IF(PaymentSchedule3[[#This Row],[PMT NO]]&lt;&gt;"",PaymentSchedule3[[#This Row],[BEGINNING BALANCE]]*(InterestRate/PaymentsPerYear),"")</f>
        <v>933.28184934941555</v>
      </c>
      <c r="J66" s="7">
        <f>IF(PaymentSchedule3[[#This Row],[PMT NO]]&lt;&gt;"",IF(PaymentSchedule3[[#This Row],[SCHEDULED PAYMENT]]+PaymentSchedule3[[#This Row],[EXTRA PAYMENT]]&lt;=PaymentSchedule3[[#This Row],[BEGINNING BALANCE]],PaymentSchedule3[[#This Row],[BEGINNING BALANCE]]-PaymentSchedule3[[#This Row],[PRINCIPAL]],0),"")</f>
        <v>294162.80233124539</v>
      </c>
      <c r="K66" s="7">
        <f>IF(PaymentSchedule3[[#This Row],[PMT NO]]&lt;&gt;"",SUM(INDEX([INTEREST],1,1):PaymentSchedule3[[#This Row],[INTEREST]]),"")</f>
        <v>48715.978490375703</v>
      </c>
    </row>
    <row r="67" spans="2:11">
      <c r="B67" s="4">
        <f>IF(LoanIsGood,IF(ROW()-ROW(PaymentSchedule3[[#Headers],[PMT NO]])&gt;ScheduledNumberOfPayments,"",ROW()-ROW(PaymentSchedule3[[#Headers],[PMT NO]])),"")</f>
        <v>51</v>
      </c>
      <c r="C67" s="5">
        <f>IF(PaymentSchedule3[[#This Row],[PMT NO]]&lt;&gt;"",EOMONTH(LoanStartDate,ROW(PaymentSchedule3[[#This Row],[PMT NO]])-ROW(PaymentSchedule3[[#Headers],[PMT NO]])-2)+DAY(LoanStartDate),"")</f>
        <v>45597</v>
      </c>
      <c r="D67" s="7">
        <f>IF(PaymentSchedule3[[#This Row],[PMT NO]]&lt;&gt;"",IF(ROW()-ROW(PaymentSchedule3[[#Headers],[BEGINNING BALANCE]])=1,LoanAmount,INDEX([ENDING BALANCE],ROW()-ROW(PaymentSchedule3[[#Headers],[BEGINNING BALANCE]])-1)),"")</f>
        <v>294162.80233124539</v>
      </c>
      <c r="E67" s="7">
        <f>IF(PaymentSchedule3[[#This Row],[PMT NO]]&lt;&gt;"",ScheduledPayment,"")</f>
        <v>1491.0635231826082</v>
      </c>
      <c r="F6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67" s="7">
        <f>IF(PaymentSchedule3[[#This Row],[PMT NO]]&lt;&gt;"",PaymentSchedule3[[#This Row],[TOTAL PAYMENT]]-PaymentSchedule3[[#This Row],[INTEREST]],"")</f>
        <v>559.54798246699772</v>
      </c>
      <c r="I67" s="7">
        <f>IF(PaymentSchedule3[[#This Row],[PMT NO]]&lt;&gt;"",PaymentSchedule3[[#This Row],[BEGINNING BALANCE]]*(InterestRate/PaymentsPerYear),"")</f>
        <v>931.51554071561043</v>
      </c>
      <c r="J67" s="7">
        <f>IF(PaymentSchedule3[[#This Row],[PMT NO]]&lt;&gt;"",IF(PaymentSchedule3[[#This Row],[SCHEDULED PAYMENT]]+PaymentSchedule3[[#This Row],[EXTRA PAYMENT]]&lt;=PaymentSchedule3[[#This Row],[BEGINNING BALANCE]],PaymentSchedule3[[#This Row],[BEGINNING BALANCE]]-PaymentSchedule3[[#This Row],[PRINCIPAL]],0),"")</f>
        <v>293603.2543487784</v>
      </c>
      <c r="K67" s="7">
        <f>IF(PaymentSchedule3[[#This Row],[PMT NO]]&lt;&gt;"",SUM(INDEX([INTEREST],1,1):PaymentSchedule3[[#This Row],[INTEREST]]),"")</f>
        <v>49647.494031091315</v>
      </c>
    </row>
    <row r="68" spans="2:11">
      <c r="B68" s="4">
        <f>IF(LoanIsGood,IF(ROW()-ROW(PaymentSchedule3[[#Headers],[PMT NO]])&gt;ScheduledNumberOfPayments,"",ROW()-ROW(PaymentSchedule3[[#Headers],[PMT NO]])),"")</f>
        <v>52</v>
      </c>
      <c r="C68" s="5">
        <f>IF(PaymentSchedule3[[#This Row],[PMT NO]]&lt;&gt;"",EOMONTH(LoanStartDate,ROW(PaymentSchedule3[[#This Row],[PMT NO]])-ROW(PaymentSchedule3[[#Headers],[PMT NO]])-2)+DAY(LoanStartDate),"")</f>
        <v>45627</v>
      </c>
      <c r="D68" s="7">
        <f>IF(PaymentSchedule3[[#This Row],[PMT NO]]&lt;&gt;"",IF(ROW()-ROW(PaymentSchedule3[[#Headers],[BEGINNING BALANCE]])=1,LoanAmount,INDEX([ENDING BALANCE],ROW()-ROW(PaymentSchedule3[[#Headers],[BEGINNING BALANCE]])-1)),"")</f>
        <v>293603.2543487784</v>
      </c>
      <c r="E68" s="7">
        <f>IF(PaymentSchedule3[[#This Row],[PMT NO]]&lt;&gt;"",ScheduledPayment,"")</f>
        <v>1491.0635231826082</v>
      </c>
      <c r="F6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68" s="7">
        <f>IF(PaymentSchedule3[[#This Row],[PMT NO]]&lt;&gt;"",PaymentSchedule3[[#This Row],[TOTAL PAYMENT]]-PaymentSchedule3[[#This Row],[INTEREST]],"")</f>
        <v>561.31988441147655</v>
      </c>
      <c r="I68" s="7">
        <f>IF(PaymentSchedule3[[#This Row],[PMT NO]]&lt;&gt;"",PaymentSchedule3[[#This Row],[BEGINNING BALANCE]]*(InterestRate/PaymentsPerYear),"")</f>
        <v>929.7436387711316</v>
      </c>
      <c r="J68" s="7">
        <f>IF(PaymentSchedule3[[#This Row],[PMT NO]]&lt;&gt;"",IF(PaymentSchedule3[[#This Row],[SCHEDULED PAYMENT]]+PaymentSchedule3[[#This Row],[EXTRA PAYMENT]]&lt;=PaymentSchedule3[[#This Row],[BEGINNING BALANCE]],PaymentSchedule3[[#This Row],[BEGINNING BALANCE]]-PaymentSchedule3[[#This Row],[PRINCIPAL]],0),"")</f>
        <v>293041.93446436693</v>
      </c>
      <c r="K68" s="7">
        <f>IF(PaymentSchedule3[[#This Row],[PMT NO]]&lt;&gt;"",SUM(INDEX([INTEREST],1,1):PaymentSchedule3[[#This Row],[INTEREST]]),"")</f>
        <v>50577.23766986245</v>
      </c>
    </row>
    <row r="69" spans="2:11">
      <c r="B69" s="4">
        <f>IF(LoanIsGood,IF(ROW()-ROW(PaymentSchedule3[[#Headers],[PMT NO]])&gt;ScheduledNumberOfPayments,"",ROW()-ROW(PaymentSchedule3[[#Headers],[PMT NO]])),"")</f>
        <v>53</v>
      </c>
      <c r="C69" s="5">
        <f>IF(PaymentSchedule3[[#This Row],[PMT NO]]&lt;&gt;"",EOMONTH(LoanStartDate,ROW(PaymentSchedule3[[#This Row],[PMT NO]])-ROW(PaymentSchedule3[[#Headers],[PMT NO]])-2)+DAY(LoanStartDate),"")</f>
        <v>45658</v>
      </c>
      <c r="D69" s="7">
        <f>IF(PaymentSchedule3[[#This Row],[PMT NO]]&lt;&gt;"",IF(ROW()-ROW(PaymentSchedule3[[#Headers],[BEGINNING BALANCE]])=1,LoanAmount,INDEX([ENDING BALANCE],ROW()-ROW(PaymentSchedule3[[#Headers],[BEGINNING BALANCE]])-1)),"")</f>
        <v>293041.93446436693</v>
      </c>
      <c r="E69" s="7">
        <f>IF(PaymentSchedule3[[#This Row],[PMT NO]]&lt;&gt;"",ScheduledPayment,"")</f>
        <v>1491.0635231826082</v>
      </c>
      <c r="F6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69" s="7">
        <f>IF(PaymentSchedule3[[#This Row],[PMT NO]]&lt;&gt;"",PaymentSchedule3[[#This Row],[TOTAL PAYMENT]]-PaymentSchedule3[[#This Row],[INTEREST]],"")</f>
        <v>563.09739737877953</v>
      </c>
      <c r="I69" s="7">
        <f>IF(PaymentSchedule3[[#This Row],[PMT NO]]&lt;&gt;"",PaymentSchedule3[[#This Row],[BEGINNING BALANCE]]*(InterestRate/PaymentsPerYear),"")</f>
        <v>927.96612580382862</v>
      </c>
      <c r="J69" s="7">
        <f>IF(PaymentSchedule3[[#This Row],[PMT NO]]&lt;&gt;"",IF(PaymentSchedule3[[#This Row],[SCHEDULED PAYMENT]]+PaymentSchedule3[[#This Row],[EXTRA PAYMENT]]&lt;=PaymentSchedule3[[#This Row],[BEGINNING BALANCE]],PaymentSchedule3[[#This Row],[BEGINNING BALANCE]]-PaymentSchedule3[[#This Row],[PRINCIPAL]],0),"")</f>
        <v>292478.83706698817</v>
      </c>
      <c r="K69" s="7">
        <f>IF(PaymentSchedule3[[#This Row],[PMT NO]]&lt;&gt;"",SUM(INDEX([INTEREST],1,1):PaymentSchedule3[[#This Row],[INTEREST]]),"")</f>
        <v>51505.203795666283</v>
      </c>
    </row>
    <row r="70" spans="2:11">
      <c r="B70" s="4">
        <f>IF(LoanIsGood,IF(ROW()-ROW(PaymentSchedule3[[#Headers],[PMT NO]])&gt;ScheduledNumberOfPayments,"",ROW()-ROW(PaymentSchedule3[[#Headers],[PMT NO]])),"")</f>
        <v>54</v>
      </c>
      <c r="C70" s="5">
        <f>IF(PaymentSchedule3[[#This Row],[PMT NO]]&lt;&gt;"",EOMONTH(LoanStartDate,ROW(PaymentSchedule3[[#This Row],[PMT NO]])-ROW(PaymentSchedule3[[#Headers],[PMT NO]])-2)+DAY(LoanStartDate),"")</f>
        <v>45689</v>
      </c>
      <c r="D70" s="7">
        <f>IF(PaymentSchedule3[[#This Row],[PMT NO]]&lt;&gt;"",IF(ROW()-ROW(PaymentSchedule3[[#Headers],[BEGINNING BALANCE]])=1,LoanAmount,INDEX([ENDING BALANCE],ROW()-ROW(PaymentSchedule3[[#Headers],[BEGINNING BALANCE]])-1)),"")</f>
        <v>292478.83706698817</v>
      </c>
      <c r="E70" s="7">
        <f>IF(PaymentSchedule3[[#This Row],[PMT NO]]&lt;&gt;"",ScheduledPayment,"")</f>
        <v>1491.0635231826082</v>
      </c>
      <c r="F7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70" s="7">
        <f>IF(PaymentSchedule3[[#This Row],[PMT NO]]&lt;&gt;"",PaymentSchedule3[[#This Row],[TOTAL PAYMENT]]-PaymentSchedule3[[#This Row],[INTEREST]],"")</f>
        <v>564.88053913714566</v>
      </c>
      <c r="I70" s="7">
        <f>IF(PaymentSchedule3[[#This Row],[PMT NO]]&lt;&gt;"",PaymentSchedule3[[#This Row],[BEGINNING BALANCE]]*(InterestRate/PaymentsPerYear),"")</f>
        <v>926.18298404546249</v>
      </c>
      <c r="J70" s="7">
        <f>IF(PaymentSchedule3[[#This Row],[PMT NO]]&lt;&gt;"",IF(PaymentSchedule3[[#This Row],[SCHEDULED PAYMENT]]+PaymentSchedule3[[#This Row],[EXTRA PAYMENT]]&lt;=PaymentSchedule3[[#This Row],[BEGINNING BALANCE]],PaymentSchedule3[[#This Row],[BEGINNING BALANCE]]-PaymentSchedule3[[#This Row],[PRINCIPAL]],0),"")</f>
        <v>291913.956527851</v>
      </c>
      <c r="K70" s="7">
        <f>IF(PaymentSchedule3[[#This Row],[PMT NO]]&lt;&gt;"",SUM(INDEX([INTEREST],1,1):PaymentSchedule3[[#This Row],[INTEREST]]),"")</f>
        <v>52431.386779711742</v>
      </c>
    </row>
    <row r="71" spans="2:11">
      <c r="B71" s="4">
        <f>IF(LoanIsGood,IF(ROW()-ROW(PaymentSchedule3[[#Headers],[PMT NO]])&gt;ScheduledNumberOfPayments,"",ROW()-ROW(PaymentSchedule3[[#Headers],[PMT NO]])),"")</f>
        <v>55</v>
      </c>
      <c r="C71" s="5">
        <f>IF(PaymentSchedule3[[#This Row],[PMT NO]]&lt;&gt;"",EOMONTH(LoanStartDate,ROW(PaymentSchedule3[[#This Row],[PMT NO]])-ROW(PaymentSchedule3[[#Headers],[PMT NO]])-2)+DAY(LoanStartDate),"")</f>
        <v>45717</v>
      </c>
      <c r="D71" s="7">
        <f>IF(PaymentSchedule3[[#This Row],[PMT NO]]&lt;&gt;"",IF(ROW()-ROW(PaymentSchedule3[[#Headers],[BEGINNING BALANCE]])=1,LoanAmount,INDEX([ENDING BALANCE],ROW()-ROW(PaymentSchedule3[[#Headers],[BEGINNING BALANCE]])-1)),"")</f>
        <v>291913.956527851</v>
      </c>
      <c r="E71" s="7">
        <f>IF(PaymentSchedule3[[#This Row],[PMT NO]]&lt;&gt;"",ScheduledPayment,"")</f>
        <v>1491.0635231826082</v>
      </c>
      <c r="F7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71" s="7">
        <f>IF(PaymentSchedule3[[#This Row],[PMT NO]]&lt;&gt;"",PaymentSchedule3[[#This Row],[TOTAL PAYMENT]]-PaymentSchedule3[[#This Row],[INTEREST]],"")</f>
        <v>566.66932751108004</v>
      </c>
      <c r="I71" s="7">
        <f>IF(PaymentSchedule3[[#This Row],[PMT NO]]&lt;&gt;"",PaymentSchedule3[[#This Row],[BEGINNING BALANCE]]*(InterestRate/PaymentsPerYear),"")</f>
        <v>924.39419567152811</v>
      </c>
      <c r="J71" s="7">
        <f>IF(PaymentSchedule3[[#This Row],[PMT NO]]&lt;&gt;"",IF(PaymentSchedule3[[#This Row],[SCHEDULED PAYMENT]]+PaymentSchedule3[[#This Row],[EXTRA PAYMENT]]&lt;=PaymentSchedule3[[#This Row],[BEGINNING BALANCE]],PaymentSchedule3[[#This Row],[BEGINNING BALANCE]]-PaymentSchedule3[[#This Row],[PRINCIPAL]],0),"")</f>
        <v>291347.2872003399</v>
      </c>
      <c r="K71" s="7">
        <f>IF(PaymentSchedule3[[#This Row],[PMT NO]]&lt;&gt;"",SUM(INDEX([INTEREST],1,1):PaymentSchedule3[[#This Row],[INTEREST]]),"")</f>
        <v>53355.78097538327</v>
      </c>
    </row>
    <row r="72" spans="2:11">
      <c r="B72" s="4">
        <f>IF(LoanIsGood,IF(ROW()-ROW(PaymentSchedule3[[#Headers],[PMT NO]])&gt;ScheduledNumberOfPayments,"",ROW()-ROW(PaymentSchedule3[[#Headers],[PMT NO]])),"")</f>
        <v>56</v>
      </c>
      <c r="C72" s="5">
        <f>IF(PaymentSchedule3[[#This Row],[PMT NO]]&lt;&gt;"",EOMONTH(LoanStartDate,ROW(PaymentSchedule3[[#This Row],[PMT NO]])-ROW(PaymentSchedule3[[#Headers],[PMT NO]])-2)+DAY(LoanStartDate),"")</f>
        <v>45748</v>
      </c>
      <c r="D72" s="7">
        <f>IF(PaymentSchedule3[[#This Row],[PMT NO]]&lt;&gt;"",IF(ROW()-ROW(PaymentSchedule3[[#Headers],[BEGINNING BALANCE]])=1,LoanAmount,INDEX([ENDING BALANCE],ROW()-ROW(PaymentSchedule3[[#Headers],[BEGINNING BALANCE]])-1)),"")</f>
        <v>291347.2872003399</v>
      </c>
      <c r="E72" s="7">
        <f>IF(PaymentSchedule3[[#This Row],[PMT NO]]&lt;&gt;"",ScheduledPayment,"")</f>
        <v>1491.0635231826082</v>
      </c>
      <c r="F7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72" s="7">
        <f>IF(PaymentSchedule3[[#This Row],[PMT NO]]&lt;&gt;"",PaymentSchedule3[[#This Row],[TOTAL PAYMENT]]-PaymentSchedule3[[#This Row],[INTEREST]],"")</f>
        <v>568.46378038153182</v>
      </c>
      <c r="I72" s="7">
        <f>IF(PaymentSchedule3[[#This Row],[PMT NO]]&lt;&gt;"",PaymentSchedule3[[#This Row],[BEGINNING BALANCE]]*(InterestRate/PaymentsPerYear),"")</f>
        <v>922.59974280107633</v>
      </c>
      <c r="J72" s="7">
        <f>IF(PaymentSchedule3[[#This Row],[PMT NO]]&lt;&gt;"",IF(PaymentSchedule3[[#This Row],[SCHEDULED PAYMENT]]+PaymentSchedule3[[#This Row],[EXTRA PAYMENT]]&lt;=PaymentSchedule3[[#This Row],[BEGINNING BALANCE]],PaymentSchedule3[[#This Row],[BEGINNING BALANCE]]-PaymentSchedule3[[#This Row],[PRINCIPAL]],0),"")</f>
        <v>290778.82341995835</v>
      </c>
      <c r="K72" s="7">
        <f>IF(PaymentSchedule3[[#This Row],[PMT NO]]&lt;&gt;"",SUM(INDEX([INTEREST],1,1):PaymentSchedule3[[#This Row],[INTEREST]]),"")</f>
        <v>54278.380718184344</v>
      </c>
    </row>
    <row r="73" spans="2:11">
      <c r="B73" s="4">
        <f>IF(LoanIsGood,IF(ROW()-ROW(PaymentSchedule3[[#Headers],[PMT NO]])&gt;ScheduledNumberOfPayments,"",ROW()-ROW(PaymentSchedule3[[#Headers],[PMT NO]])),"")</f>
        <v>57</v>
      </c>
      <c r="C73" s="5">
        <f>IF(PaymentSchedule3[[#This Row],[PMT NO]]&lt;&gt;"",EOMONTH(LoanStartDate,ROW(PaymentSchedule3[[#This Row],[PMT NO]])-ROW(PaymentSchedule3[[#Headers],[PMT NO]])-2)+DAY(LoanStartDate),"")</f>
        <v>45778</v>
      </c>
      <c r="D73" s="7">
        <f>IF(PaymentSchedule3[[#This Row],[PMT NO]]&lt;&gt;"",IF(ROW()-ROW(PaymentSchedule3[[#Headers],[BEGINNING BALANCE]])=1,LoanAmount,INDEX([ENDING BALANCE],ROW()-ROW(PaymentSchedule3[[#Headers],[BEGINNING BALANCE]])-1)),"")</f>
        <v>290778.82341995835</v>
      </c>
      <c r="E73" s="7">
        <f>IF(PaymentSchedule3[[#This Row],[PMT NO]]&lt;&gt;"",ScheduledPayment,"")</f>
        <v>1491.0635231826082</v>
      </c>
      <c r="F7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73" s="7">
        <f>IF(PaymentSchedule3[[#This Row],[PMT NO]]&lt;&gt;"",PaymentSchedule3[[#This Row],[TOTAL PAYMENT]]-PaymentSchedule3[[#This Row],[INTEREST]],"")</f>
        <v>570.26391568607335</v>
      </c>
      <c r="I73" s="7">
        <f>IF(PaymentSchedule3[[#This Row],[PMT NO]]&lt;&gt;"",PaymentSchedule3[[#This Row],[BEGINNING BALANCE]]*(InterestRate/PaymentsPerYear),"")</f>
        <v>920.7996074965348</v>
      </c>
      <c r="J73" s="7">
        <f>IF(PaymentSchedule3[[#This Row],[PMT NO]]&lt;&gt;"",IF(PaymentSchedule3[[#This Row],[SCHEDULED PAYMENT]]+PaymentSchedule3[[#This Row],[EXTRA PAYMENT]]&lt;=PaymentSchedule3[[#This Row],[BEGINNING BALANCE]],PaymentSchedule3[[#This Row],[BEGINNING BALANCE]]-PaymentSchedule3[[#This Row],[PRINCIPAL]],0),"")</f>
        <v>290208.5595042723</v>
      </c>
      <c r="K73" s="7">
        <f>IF(PaymentSchedule3[[#This Row],[PMT NO]]&lt;&gt;"",SUM(INDEX([INTEREST],1,1):PaymentSchedule3[[#This Row],[INTEREST]]),"")</f>
        <v>55199.180325680878</v>
      </c>
    </row>
    <row r="74" spans="2:11">
      <c r="B74" s="4">
        <f>IF(LoanIsGood,IF(ROW()-ROW(PaymentSchedule3[[#Headers],[PMT NO]])&gt;ScheduledNumberOfPayments,"",ROW()-ROW(PaymentSchedule3[[#Headers],[PMT NO]])),"")</f>
        <v>58</v>
      </c>
      <c r="C74" s="5">
        <f>IF(PaymentSchedule3[[#This Row],[PMT NO]]&lt;&gt;"",EOMONTH(LoanStartDate,ROW(PaymentSchedule3[[#This Row],[PMT NO]])-ROW(PaymentSchedule3[[#Headers],[PMT NO]])-2)+DAY(LoanStartDate),"")</f>
        <v>45809</v>
      </c>
      <c r="D74" s="7">
        <f>IF(PaymentSchedule3[[#This Row],[PMT NO]]&lt;&gt;"",IF(ROW()-ROW(PaymentSchedule3[[#Headers],[BEGINNING BALANCE]])=1,LoanAmount,INDEX([ENDING BALANCE],ROW()-ROW(PaymentSchedule3[[#Headers],[BEGINNING BALANCE]])-1)),"")</f>
        <v>290208.5595042723</v>
      </c>
      <c r="E74" s="7">
        <f>IF(PaymentSchedule3[[#This Row],[PMT NO]]&lt;&gt;"",ScheduledPayment,"")</f>
        <v>1491.0635231826082</v>
      </c>
      <c r="F7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74" s="7">
        <f>IF(PaymentSchedule3[[#This Row],[PMT NO]]&lt;&gt;"",PaymentSchedule3[[#This Row],[TOTAL PAYMENT]]-PaymentSchedule3[[#This Row],[INTEREST]],"")</f>
        <v>572.06975141907924</v>
      </c>
      <c r="I74" s="7">
        <f>IF(PaymentSchedule3[[#This Row],[PMT NO]]&lt;&gt;"",PaymentSchedule3[[#This Row],[BEGINNING BALANCE]]*(InterestRate/PaymentsPerYear),"")</f>
        <v>918.99377176352891</v>
      </c>
      <c r="J74" s="7">
        <f>IF(PaymentSchedule3[[#This Row],[PMT NO]]&lt;&gt;"",IF(PaymentSchedule3[[#This Row],[SCHEDULED PAYMENT]]+PaymentSchedule3[[#This Row],[EXTRA PAYMENT]]&lt;=PaymentSchedule3[[#This Row],[BEGINNING BALANCE]],PaymentSchedule3[[#This Row],[BEGINNING BALANCE]]-PaymentSchedule3[[#This Row],[PRINCIPAL]],0),"")</f>
        <v>289636.48975285323</v>
      </c>
      <c r="K74" s="7">
        <f>IF(PaymentSchedule3[[#This Row],[PMT NO]]&lt;&gt;"",SUM(INDEX([INTEREST],1,1):PaymentSchedule3[[#This Row],[INTEREST]]),"")</f>
        <v>56118.174097444404</v>
      </c>
    </row>
    <row r="75" spans="2:11">
      <c r="B75" s="4">
        <f>IF(LoanIsGood,IF(ROW()-ROW(PaymentSchedule3[[#Headers],[PMT NO]])&gt;ScheduledNumberOfPayments,"",ROW()-ROW(PaymentSchedule3[[#Headers],[PMT NO]])),"")</f>
        <v>59</v>
      </c>
      <c r="C75" s="5">
        <f>IF(PaymentSchedule3[[#This Row],[PMT NO]]&lt;&gt;"",EOMONTH(LoanStartDate,ROW(PaymentSchedule3[[#This Row],[PMT NO]])-ROW(PaymentSchedule3[[#Headers],[PMT NO]])-2)+DAY(LoanStartDate),"")</f>
        <v>45839</v>
      </c>
      <c r="D75" s="7">
        <f>IF(PaymentSchedule3[[#This Row],[PMT NO]]&lt;&gt;"",IF(ROW()-ROW(PaymentSchedule3[[#Headers],[BEGINNING BALANCE]])=1,LoanAmount,INDEX([ENDING BALANCE],ROW()-ROW(PaymentSchedule3[[#Headers],[BEGINNING BALANCE]])-1)),"")</f>
        <v>289636.48975285323</v>
      </c>
      <c r="E75" s="7">
        <f>IF(PaymentSchedule3[[#This Row],[PMT NO]]&lt;&gt;"",ScheduledPayment,"")</f>
        <v>1491.0635231826082</v>
      </c>
      <c r="F7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75" s="7">
        <f>IF(PaymentSchedule3[[#This Row],[PMT NO]]&lt;&gt;"",PaymentSchedule3[[#This Row],[TOTAL PAYMENT]]-PaymentSchedule3[[#This Row],[INTEREST]],"")</f>
        <v>573.88130563190623</v>
      </c>
      <c r="I75" s="7">
        <f>IF(PaymentSchedule3[[#This Row],[PMT NO]]&lt;&gt;"",PaymentSchedule3[[#This Row],[BEGINNING BALANCE]]*(InterestRate/PaymentsPerYear),"")</f>
        <v>917.18221755070192</v>
      </c>
      <c r="J75" s="7">
        <f>IF(PaymentSchedule3[[#This Row],[PMT NO]]&lt;&gt;"",IF(PaymentSchedule3[[#This Row],[SCHEDULED PAYMENT]]+PaymentSchedule3[[#This Row],[EXTRA PAYMENT]]&lt;=PaymentSchedule3[[#This Row],[BEGINNING BALANCE]],PaymentSchedule3[[#This Row],[BEGINNING BALANCE]]-PaymentSchedule3[[#This Row],[PRINCIPAL]],0),"")</f>
        <v>289062.60844722134</v>
      </c>
      <c r="K75" s="7">
        <f>IF(PaymentSchedule3[[#This Row],[PMT NO]]&lt;&gt;"",SUM(INDEX([INTEREST],1,1):PaymentSchedule3[[#This Row],[INTEREST]]),"")</f>
        <v>57035.356314995108</v>
      </c>
    </row>
    <row r="76" spans="2:11">
      <c r="B76" s="4">
        <f>IF(LoanIsGood,IF(ROW()-ROW(PaymentSchedule3[[#Headers],[PMT NO]])&gt;ScheduledNumberOfPayments,"",ROW()-ROW(PaymentSchedule3[[#Headers],[PMT NO]])),"")</f>
        <v>60</v>
      </c>
      <c r="C76" s="5">
        <f>IF(PaymentSchedule3[[#This Row],[PMT NO]]&lt;&gt;"",EOMONTH(LoanStartDate,ROW(PaymentSchedule3[[#This Row],[PMT NO]])-ROW(PaymentSchedule3[[#Headers],[PMT NO]])-2)+DAY(LoanStartDate),"")</f>
        <v>45870</v>
      </c>
      <c r="D76" s="7">
        <f>IF(PaymentSchedule3[[#This Row],[PMT NO]]&lt;&gt;"",IF(ROW()-ROW(PaymentSchedule3[[#Headers],[BEGINNING BALANCE]])=1,LoanAmount,INDEX([ENDING BALANCE],ROW()-ROW(PaymentSchedule3[[#Headers],[BEGINNING BALANCE]])-1)),"")</f>
        <v>289062.60844722134</v>
      </c>
      <c r="E76" s="7">
        <f>IF(PaymentSchedule3[[#This Row],[PMT NO]]&lt;&gt;"",ScheduledPayment,"")</f>
        <v>1491.0635231826082</v>
      </c>
      <c r="F7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76" s="7">
        <f>IF(PaymentSchedule3[[#This Row],[PMT NO]]&lt;&gt;"",PaymentSchedule3[[#This Row],[TOTAL PAYMENT]]-PaymentSchedule3[[#This Row],[INTEREST]],"")</f>
        <v>575.69859643307393</v>
      </c>
      <c r="I76" s="7">
        <f>IF(PaymentSchedule3[[#This Row],[PMT NO]]&lt;&gt;"",PaymentSchedule3[[#This Row],[BEGINNING BALANCE]]*(InterestRate/PaymentsPerYear),"")</f>
        <v>915.36492674953422</v>
      </c>
      <c r="J76" s="7">
        <f>IF(PaymentSchedule3[[#This Row],[PMT NO]]&lt;&gt;"",IF(PaymentSchedule3[[#This Row],[SCHEDULED PAYMENT]]+PaymentSchedule3[[#This Row],[EXTRA PAYMENT]]&lt;=PaymentSchedule3[[#This Row],[BEGINNING BALANCE]],PaymentSchedule3[[#This Row],[BEGINNING BALANCE]]-PaymentSchedule3[[#This Row],[PRINCIPAL]],0),"")</f>
        <v>288486.90985078824</v>
      </c>
      <c r="K76" s="7">
        <f>IF(PaymentSchedule3[[#This Row],[PMT NO]]&lt;&gt;"",SUM(INDEX([INTEREST],1,1):PaymentSchedule3[[#This Row],[INTEREST]]),"")</f>
        <v>57950.721241744643</v>
      </c>
    </row>
    <row r="77" spans="2:11">
      <c r="B77" s="4">
        <f>IF(LoanIsGood,IF(ROW()-ROW(PaymentSchedule3[[#Headers],[PMT NO]])&gt;ScheduledNumberOfPayments,"",ROW()-ROW(PaymentSchedule3[[#Headers],[PMT NO]])),"")</f>
        <v>61</v>
      </c>
      <c r="C77" s="5">
        <f>IF(PaymentSchedule3[[#This Row],[PMT NO]]&lt;&gt;"",EOMONTH(LoanStartDate,ROW(PaymentSchedule3[[#This Row],[PMT NO]])-ROW(PaymentSchedule3[[#Headers],[PMT NO]])-2)+DAY(LoanStartDate),"")</f>
        <v>45901</v>
      </c>
      <c r="D77" s="7">
        <f>IF(PaymentSchedule3[[#This Row],[PMT NO]]&lt;&gt;"",IF(ROW()-ROW(PaymentSchedule3[[#Headers],[BEGINNING BALANCE]])=1,LoanAmount,INDEX([ENDING BALANCE],ROW()-ROW(PaymentSchedule3[[#Headers],[BEGINNING BALANCE]])-1)),"")</f>
        <v>288486.90985078824</v>
      </c>
      <c r="E77" s="7">
        <f>IF(PaymentSchedule3[[#This Row],[PMT NO]]&lt;&gt;"",ScheduledPayment,"")</f>
        <v>1491.0635231826082</v>
      </c>
      <c r="F7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77" s="7">
        <f>IF(PaymentSchedule3[[#This Row],[PMT NO]]&lt;&gt;"",PaymentSchedule3[[#This Row],[TOTAL PAYMENT]]-PaymentSchedule3[[#This Row],[INTEREST]],"")</f>
        <v>577.52164198844537</v>
      </c>
      <c r="I77" s="7">
        <f>IF(PaymentSchedule3[[#This Row],[PMT NO]]&lt;&gt;"",PaymentSchedule3[[#This Row],[BEGINNING BALANCE]]*(InterestRate/PaymentsPerYear),"")</f>
        <v>913.54188119416278</v>
      </c>
      <c r="J77" s="7">
        <f>IF(PaymentSchedule3[[#This Row],[PMT NO]]&lt;&gt;"",IF(PaymentSchedule3[[#This Row],[SCHEDULED PAYMENT]]+PaymentSchedule3[[#This Row],[EXTRA PAYMENT]]&lt;=PaymentSchedule3[[#This Row],[BEGINNING BALANCE]],PaymentSchedule3[[#This Row],[BEGINNING BALANCE]]-PaymentSchedule3[[#This Row],[PRINCIPAL]],0),"")</f>
        <v>287909.38820879982</v>
      </c>
      <c r="K77" s="7">
        <f>IF(PaymentSchedule3[[#This Row],[PMT NO]]&lt;&gt;"",SUM(INDEX([INTEREST],1,1):PaymentSchedule3[[#This Row],[INTEREST]]),"")</f>
        <v>58864.263122938806</v>
      </c>
    </row>
    <row r="78" spans="2:11">
      <c r="B78" s="4">
        <f>IF(LoanIsGood,IF(ROW()-ROW(PaymentSchedule3[[#Headers],[PMT NO]])&gt;ScheduledNumberOfPayments,"",ROW()-ROW(PaymentSchedule3[[#Headers],[PMT NO]])),"")</f>
        <v>62</v>
      </c>
      <c r="C78" s="5">
        <f>IF(PaymentSchedule3[[#This Row],[PMT NO]]&lt;&gt;"",EOMONTH(LoanStartDate,ROW(PaymentSchedule3[[#This Row],[PMT NO]])-ROW(PaymentSchedule3[[#Headers],[PMT NO]])-2)+DAY(LoanStartDate),"")</f>
        <v>45931</v>
      </c>
      <c r="D78" s="7">
        <f>IF(PaymentSchedule3[[#This Row],[PMT NO]]&lt;&gt;"",IF(ROW()-ROW(PaymentSchedule3[[#Headers],[BEGINNING BALANCE]])=1,LoanAmount,INDEX([ENDING BALANCE],ROW()-ROW(PaymentSchedule3[[#Headers],[BEGINNING BALANCE]])-1)),"")</f>
        <v>287909.38820879982</v>
      </c>
      <c r="E78" s="7">
        <f>IF(PaymentSchedule3[[#This Row],[PMT NO]]&lt;&gt;"",ScheduledPayment,"")</f>
        <v>1491.0635231826082</v>
      </c>
      <c r="F7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78" s="7">
        <f>IF(PaymentSchedule3[[#This Row],[PMT NO]]&lt;&gt;"",PaymentSchedule3[[#This Row],[TOTAL PAYMENT]]-PaymentSchedule3[[#This Row],[INTEREST]],"")</f>
        <v>579.35046052140876</v>
      </c>
      <c r="I78" s="7">
        <f>IF(PaymentSchedule3[[#This Row],[PMT NO]]&lt;&gt;"",PaymentSchedule3[[#This Row],[BEGINNING BALANCE]]*(InterestRate/PaymentsPerYear),"")</f>
        <v>911.71306266119939</v>
      </c>
      <c r="J78" s="7">
        <f>IF(PaymentSchedule3[[#This Row],[PMT NO]]&lt;&gt;"",IF(PaymentSchedule3[[#This Row],[SCHEDULED PAYMENT]]+PaymentSchedule3[[#This Row],[EXTRA PAYMENT]]&lt;=PaymentSchedule3[[#This Row],[BEGINNING BALANCE]],PaymentSchedule3[[#This Row],[BEGINNING BALANCE]]-PaymentSchedule3[[#This Row],[PRINCIPAL]],0),"")</f>
        <v>287330.03774827841</v>
      </c>
      <c r="K78" s="7">
        <f>IF(PaymentSchedule3[[#This Row],[PMT NO]]&lt;&gt;"",SUM(INDEX([INTEREST],1,1):PaymentSchedule3[[#This Row],[INTEREST]]),"")</f>
        <v>59775.976185600004</v>
      </c>
    </row>
    <row r="79" spans="2:11">
      <c r="B79" s="4">
        <f>IF(LoanIsGood,IF(ROW()-ROW(PaymentSchedule3[[#Headers],[PMT NO]])&gt;ScheduledNumberOfPayments,"",ROW()-ROW(PaymentSchedule3[[#Headers],[PMT NO]])),"")</f>
        <v>63</v>
      </c>
      <c r="C79" s="5">
        <f>IF(PaymentSchedule3[[#This Row],[PMT NO]]&lt;&gt;"",EOMONTH(LoanStartDate,ROW(PaymentSchedule3[[#This Row],[PMT NO]])-ROW(PaymentSchedule3[[#Headers],[PMT NO]])-2)+DAY(LoanStartDate),"")</f>
        <v>45962</v>
      </c>
      <c r="D79" s="7">
        <f>IF(PaymentSchedule3[[#This Row],[PMT NO]]&lt;&gt;"",IF(ROW()-ROW(PaymentSchedule3[[#Headers],[BEGINNING BALANCE]])=1,LoanAmount,INDEX([ENDING BALANCE],ROW()-ROW(PaymentSchedule3[[#Headers],[BEGINNING BALANCE]])-1)),"")</f>
        <v>287330.03774827841</v>
      </c>
      <c r="E79" s="7">
        <f>IF(PaymentSchedule3[[#This Row],[PMT NO]]&lt;&gt;"",ScheduledPayment,"")</f>
        <v>1491.0635231826082</v>
      </c>
      <c r="F7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79" s="7">
        <f>IF(PaymentSchedule3[[#This Row],[PMT NO]]&lt;&gt;"",PaymentSchedule3[[#This Row],[TOTAL PAYMENT]]-PaymentSchedule3[[#This Row],[INTEREST]],"")</f>
        <v>581.1850703130599</v>
      </c>
      <c r="I79" s="7">
        <f>IF(PaymentSchedule3[[#This Row],[PMT NO]]&lt;&gt;"",PaymentSchedule3[[#This Row],[BEGINNING BALANCE]]*(InterestRate/PaymentsPerYear),"")</f>
        <v>909.87845286954825</v>
      </c>
      <c r="J79" s="7">
        <f>IF(PaymentSchedule3[[#This Row],[PMT NO]]&lt;&gt;"",IF(PaymentSchedule3[[#This Row],[SCHEDULED PAYMENT]]+PaymentSchedule3[[#This Row],[EXTRA PAYMENT]]&lt;=PaymentSchedule3[[#This Row],[BEGINNING BALANCE]],PaymentSchedule3[[#This Row],[BEGINNING BALANCE]]-PaymentSchedule3[[#This Row],[PRINCIPAL]],0),"")</f>
        <v>286748.85267796536</v>
      </c>
      <c r="K79" s="7">
        <f>IF(PaymentSchedule3[[#This Row],[PMT NO]]&lt;&gt;"",SUM(INDEX([INTEREST],1,1):PaymentSchedule3[[#This Row],[INTEREST]]),"")</f>
        <v>60685.854638469551</v>
      </c>
    </row>
    <row r="80" spans="2:11">
      <c r="B80" s="4">
        <f>IF(LoanIsGood,IF(ROW()-ROW(PaymentSchedule3[[#Headers],[PMT NO]])&gt;ScheduledNumberOfPayments,"",ROW()-ROW(PaymentSchedule3[[#Headers],[PMT NO]])),"")</f>
        <v>64</v>
      </c>
      <c r="C80" s="5">
        <f>IF(PaymentSchedule3[[#This Row],[PMT NO]]&lt;&gt;"",EOMONTH(LoanStartDate,ROW(PaymentSchedule3[[#This Row],[PMT NO]])-ROW(PaymentSchedule3[[#Headers],[PMT NO]])-2)+DAY(LoanStartDate),"")</f>
        <v>45992</v>
      </c>
      <c r="D80" s="7">
        <f>IF(PaymentSchedule3[[#This Row],[PMT NO]]&lt;&gt;"",IF(ROW()-ROW(PaymentSchedule3[[#Headers],[BEGINNING BALANCE]])=1,LoanAmount,INDEX([ENDING BALANCE],ROW()-ROW(PaymentSchedule3[[#Headers],[BEGINNING BALANCE]])-1)),"")</f>
        <v>286748.85267796536</v>
      </c>
      <c r="E80" s="7">
        <f>IF(PaymentSchedule3[[#This Row],[PMT NO]]&lt;&gt;"",ScheduledPayment,"")</f>
        <v>1491.0635231826082</v>
      </c>
      <c r="F8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80" s="7">
        <f>IF(PaymentSchedule3[[#This Row],[PMT NO]]&lt;&gt;"",PaymentSchedule3[[#This Row],[TOTAL PAYMENT]]-PaymentSchedule3[[#This Row],[INTEREST]],"")</f>
        <v>583.02548970238456</v>
      </c>
      <c r="I80" s="7">
        <f>IF(PaymentSchedule3[[#This Row],[PMT NO]]&lt;&gt;"",PaymentSchedule3[[#This Row],[BEGINNING BALANCE]]*(InterestRate/PaymentsPerYear),"")</f>
        <v>908.03803348022359</v>
      </c>
      <c r="J80" s="7">
        <f>IF(PaymentSchedule3[[#This Row],[PMT NO]]&lt;&gt;"",IF(PaymentSchedule3[[#This Row],[SCHEDULED PAYMENT]]+PaymentSchedule3[[#This Row],[EXTRA PAYMENT]]&lt;=PaymentSchedule3[[#This Row],[BEGINNING BALANCE]],PaymentSchedule3[[#This Row],[BEGINNING BALANCE]]-PaymentSchedule3[[#This Row],[PRINCIPAL]],0),"")</f>
        <v>286165.82718826295</v>
      </c>
      <c r="K80" s="7">
        <f>IF(PaymentSchedule3[[#This Row],[PMT NO]]&lt;&gt;"",SUM(INDEX([INTEREST],1,1):PaymentSchedule3[[#This Row],[INTEREST]]),"")</f>
        <v>61593.892671949776</v>
      </c>
    </row>
    <row r="81" spans="2:11">
      <c r="B81" s="4">
        <f>IF(LoanIsGood,IF(ROW()-ROW(PaymentSchedule3[[#Headers],[PMT NO]])&gt;ScheduledNumberOfPayments,"",ROW()-ROW(PaymentSchedule3[[#Headers],[PMT NO]])),"")</f>
        <v>65</v>
      </c>
      <c r="C81" s="5">
        <f>IF(PaymentSchedule3[[#This Row],[PMT NO]]&lt;&gt;"",EOMONTH(LoanStartDate,ROW(PaymentSchedule3[[#This Row],[PMT NO]])-ROW(PaymentSchedule3[[#Headers],[PMT NO]])-2)+DAY(LoanStartDate),"")</f>
        <v>46023</v>
      </c>
      <c r="D81" s="7">
        <f>IF(PaymentSchedule3[[#This Row],[PMT NO]]&lt;&gt;"",IF(ROW()-ROW(PaymentSchedule3[[#Headers],[BEGINNING BALANCE]])=1,LoanAmount,INDEX([ENDING BALANCE],ROW()-ROW(PaymentSchedule3[[#Headers],[BEGINNING BALANCE]])-1)),"")</f>
        <v>286165.82718826295</v>
      </c>
      <c r="E81" s="7">
        <f>IF(PaymentSchedule3[[#This Row],[PMT NO]]&lt;&gt;"",ScheduledPayment,"")</f>
        <v>1491.0635231826082</v>
      </c>
      <c r="F8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81" s="7">
        <f>IF(PaymentSchedule3[[#This Row],[PMT NO]]&lt;&gt;"",PaymentSchedule3[[#This Row],[TOTAL PAYMENT]]-PaymentSchedule3[[#This Row],[INTEREST]],"")</f>
        <v>584.87173708644218</v>
      </c>
      <c r="I81" s="7">
        <f>IF(PaymentSchedule3[[#This Row],[PMT NO]]&lt;&gt;"",PaymentSchedule3[[#This Row],[BEGINNING BALANCE]]*(InterestRate/PaymentsPerYear),"")</f>
        <v>906.19178609616597</v>
      </c>
      <c r="J81" s="7">
        <f>IF(PaymentSchedule3[[#This Row],[PMT NO]]&lt;&gt;"",IF(PaymentSchedule3[[#This Row],[SCHEDULED PAYMENT]]+PaymentSchedule3[[#This Row],[EXTRA PAYMENT]]&lt;=PaymentSchedule3[[#This Row],[BEGINNING BALANCE]],PaymentSchedule3[[#This Row],[BEGINNING BALANCE]]-PaymentSchedule3[[#This Row],[PRINCIPAL]],0),"")</f>
        <v>285580.9554511765</v>
      </c>
      <c r="K81" s="7">
        <f>IF(PaymentSchedule3[[#This Row],[PMT NO]]&lt;&gt;"",SUM(INDEX([INTEREST],1,1):PaymentSchedule3[[#This Row],[INTEREST]]),"")</f>
        <v>62500.084458045945</v>
      </c>
    </row>
    <row r="82" spans="2:11">
      <c r="B82" s="4">
        <f>IF(LoanIsGood,IF(ROW()-ROW(PaymentSchedule3[[#Headers],[PMT NO]])&gt;ScheduledNumberOfPayments,"",ROW()-ROW(PaymentSchedule3[[#Headers],[PMT NO]])),"")</f>
        <v>66</v>
      </c>
      <c r="C82" s="5">
        <f>IF(PaymentSchedule3[[#This Row],[PMT NO]]&lt;&gt;"",EOMONTH(LoanStartDate,ROW(PaymentSchedule3[[#This Row],[PMT NO]])-ROW(PaymentSchedule3[[#Headers],[PMT NO]])-2)+DAY(LoanStartDate),"")</f>
        <v>46054</v>
      </c>
      <c r="D82" s="7">
        <f>IF(PaymentSchedule3[[#This Row],[PMT NO]]&lt;&gt;"",IF(ROW()-ROW(PaymentSchedule3[[#Headers],[BEGINNING BALANCE]])=1,LoanAmount,INDEX([ENDING BALANCE],ROW()-ROW(PaymentSchedule3[[#Headers],[BEGINNING BALANCE]])-1)),"")</f>
        <v>285580.9554511765</v>
      </c>
      <c r="E82" s="7">
        <f>IF(PaymentSchedule3[[#This Row],[PMT NO]]&lt;&gt;"",ScheduledPayment,"")</f>
        <v>1491.0635231826082</v>
      </c>
      <c r="F8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82" s="7">
        <f>IF(PaymentSchedule3[[#This Row],[PMT NO]]&lt;&gt;"",PaymentSchedule3[[#This Row],[TOTAL PAYMENT]]-PaymentSchedule3[[#This Row],[INTEREST]],"")</f>
        <v>586.72383092054929</v>
      </c>
      <c r="I82" s="7">
        <f>IF(PaymentSchedule3[[#This Row],[PMT NO]]&lt;&gt;"",PaymentSchedule3[[#This Row],[BEGINNING BALANCE]]*(InterestRate/PaymentsPerYear),"")</f>
        <v>904.33969226205886</v>
      </c>
      <c r="J82" s="7">
        <f>IF(PaymentSchedule3[[#This Row],[PMT NO]]&lt;&gt;"",IF(PaymentSchedule3[[#This Row],[SCHEDULED PAYMENT]]+PaymentSchedule3[[#This Row],[EXTRA PAYMENT]]&lt;=PaymentSchedule3[[#This Row],[BEGINNING BALANCE]],PaymentSchedule3[[#This Row],[BEGINNING BALANCE]]-PaymentSchedule3[[#This Row],[PRINCIPAL]],0),"")</f>
        <v>284994.23162025597</v>
      </c>
      <c r="K82" s="7">
        <f>IF(PaymentSchedule3[[#This Row],[PMT NO]]&lt;&gt;"",SUM(INDEX([INTEREST],1,1):PaymentSchedule3[[#This Row],[INTEREST]]),"")</f>
        <v>63404.424150308005</v>
      </c>
    </row>
    <row r="83" spans="2:11">
      <c r="B83" s="4">
        <f>IF(LoanIsGood,IF(ROW()-ROW(PaymentSchedule3[[#Headers],[PMT NO]])&gt;ScheduledNumberOfPayments,"",ROW()-ROW(PaymentSchedule3[[#Headers],[PMT NO]])),"")</f>
        <v>67</v>
      </c>
      <c r="C83" s="5">
        <f>IF(PaymentSchedule3[[#This Row],[PMT NO]]&lt;&gt;"",EOMONTH(LoanStartDate,ROW(PaymentSchedule3[[#This Row],[PMT NO]])-ROW(PaymentSchedule3[[#Headers],[PMT NO]])-2)+DAY(LoanStartDate),"")</f>
        <v>46082</v>
      </c>
      <c r="D83" s="7">
        <f>IF(PaymentSchedule3[[#This Row],[PMT NO]]&lt;&gt;"",IF(ROW()-ROW(PaymentSchedule3[[#Headers],[BEGINNING BALANCE]])=1,LoanAmount,INDEX([ENDING BALANCE],ROW()-ROW(PaymentSchedule3[[#Headers],[BEGINNING BALANCE]])-1)),"")</f>
        <v>284994.23162025597</v>
      </c>
      <c r="E83" s="7">
        <f>IF(PaymentSchedule3[[#This Row],[PMT NO]]&lt;&gt;"",ScheduledPayment,"")</f>
        <v>1491.0635231826082</v>
      </c>
      <c r="F8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83" s="7">
        <f>IF(PaymentSchedule3[[#This Row],[PMT NO]]&lt;&gt;"",PaymentSchedule3[[#This Row],[TOTAL PAYMENT]]-PaymentSchedule3[[#This Row],[INTEREST]],"")</f>
        <v>588.58178971846428</v>
      </c>
      <c r="I83" s="7">
        <f>IF(PaymentSchedule3[[#This Row],[PMT NO]]&lt;&gt;"",PaymentSchedule3[[#This Row],[BEGINNING BALANCE]]*(InterestRate/PaymentsPerYear),"")</f>
        <v>902.48173346414387</v>
      </c>
      <c r="J83" s="7">
        <f>IF(PaymentSchedule3[[#This Row],[PMT NO]]&lt;&gt;"",IF(PaymentSchedule3[[#This Row],[SCHEDULED PAYMENT]]+PaymentSchedule3[[#This Row],[EXTRA PAYMENT]]&lt;=PaymentSchedule3[[#This Row],[BEGINNING BALANCE]],PaymentSchedule3[[#This Row],[BEGINNING BALANCE]]-PaymentSchedule3[[#This Row],[PRINCIPAL]],0),"")</f>
        <v>284405.6498305375</v>
      </c>
      <c r="K83" s="7">
        <f>IF(PaymentSchedule3[[#This Row],[PMT NO]]&lt;&gt;"",SUM(INDEX([INTEREST],1,1):PaymentSchedule3[[#This Row],[INTEREST]]),"")</f>
        <v>64306.905883772146</v>
      </c>
    </row>
    <row r="84" spans="2:11">
      <c r="B84" s="4">
        <f>IF(LoanIsGood,IF(ROW()-ROW(PaymentSchedule3[[#Headers],[PMT NO]])&gt;ScheduledNumberOfPayments,"",ROW()-ROW(PaymentSchedule3[[#Headers],[PMT NO]])),"")</f>
        <v>68</v>
      </c>
      <c r="C84" s="5">
        <f>IF(PaymentSchedule3[[#This Row],[PMT NO]]&lt;&gt;"",EOMONTH(LoanStartDate,ROW(PaymentSchedule3[[#This Row],[PMT NO]])-ROW(PaymentSchedule3[[#Headers],[PMT NO]])-2)+DAY(LoanStartDate),"")</f>
        <v>46113</v>
      </c>
      <c r="D84" s="7">
        <f>IF(PaymentSchedule3[[#This Row],[PMT NO]]&lt;&gt;"",IF(ROW()-ROW(PaymentSchedule3[[#Headers],[BEGINNING BALANCE]])=1,LoanAmount,INDEX([ENDING BALANCE],ROW()-ROW(PaymentSchedule3[[#Headers],[BEGINNING BALANCE]])-1)),"")</f>
        <v>284405.6498305375</v>
      </c>
      <c r="E84" s="7">
        <f>IF(PaymentSchedule3[[#This Row],[PMT NO]]&lt;&gt;"",ScheduledPayment,"")</f>
        <v>1491.0635231826082</v>
      </c>
      <c r="F8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84" s="7">
        <f>IF(PaymentSchedule3[[#This Row],[PMT NO]]&lt;&gt;"",PaymentSchedule3[[#This Row],[TOTAL PAYMENT]]-PaymentSchedule3[[#This Row],[INTEREST]],"")</f>
        <v>590.44563205257271</v>
      </c>
      <c r="I84" s="7">
        <f>IF(PaymentSchedule3[[#This Row],[PMT NO]]&lt;&gt;"",PaymentSchedule3[[#This Row],[BEGINNING BALANCE]]*(InterestRate/PaymentsPerYear),"")</f>
        <v>900.61789113003545</v>
      </c>
      <c r="J84" s="7">
        <f>IF(PaymentSchedule3[[#This Row],[PMT NO]]&lt;&gt;"",IF(PaymentSchedule3[[#This Row],[SCHEDULED PAYMENT]]+PaymentSchedule3[[#This Row],[EXTRA PAYMENT]]&lt;=PaymentSchedule3[[#This Row],[BEGINNING BALANCE]],PaymentSchedule3[[#This Row],[BEGINNING BALANCE]]-PaymentSchedule3[[#This Row],[PRINCIPAL]],0),"")</f>
        <v>283815.20419848495</v>
      </c>
      <c r="K84" s="7">
        <f>IF(PaymentSchedule3[[#This Row],[PMT NO]]&lt;&gt;"",SUM(INDEX([INTEREST],1,1):PaymentSchedule3[[#This Row],[INTEREST]]),"")</f>
        <v>65207.523774902184</v>
      </c>
    </row>
    <row r="85" spans="2:11">
      <c r="B85" s="4">
        <f>IF(LoanIsGood,IF(ROW()-ROW(PaymentSchedule3[[#Headers],[PMT NO]])&gt;ScheduledNumberOfPayments,"",ROW()-ROW(PaymentSchedule3[[#Headers],[PMT NO]])),"")</f>
        <v>69</v>
      </c>
      <c r="C85" s="5">
        <f>IF(PaymentSchedule3[[#This Row],[PMT NO]]&lt;&gt;"",EOMONTH(LoanStartDate,ROW(PaymentSchedule3[[#This Row],[PMT NO]])-ROW(PaymentSchedule3[[#Headers],[PMT NO]])-2)+DAY(LoanStartDate),"")</f>
        <v>46143</v>
      </c>
      <c r="D85" s="7">
        <f>IF(PaymentSchedule3[[#This Row],[PMT NO]]&lt;&gt;"",IF(ROW()-ROW(PaymentSchedule3[[#Headers],[BEGINNING BALANCE]])=1,LoanAmount,INDEX([ENDING BALANCE],ROW()-ROW(PaymentSchedule3[[#Headers],[BEGINNING BALANCE]])-1)),"")</f>
        <v>283815.20419848495</v>
      </c>
      <c r="E85" s="7">
        <f>IF(PaymentSchedule3[[#This Row],[PMT NO]]&lt;&gt;"",ScheduledPayment,"")</f>
        <v>1491.0635231826082</v>
      </c>
      <c r="F8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85" s="7">
        <f>IF(PaymentSchedule3[[#This Row],[PMT NO]]&lt;&gt;"",PaymentSchedule3[[#This Row],[TOTAL PAYMENT]]-PaymentSchedule3[[#This Row],[INTEREST]],"")</f>
        <v>592.31537655407249</v>
      </c>
      <c r="I85" s="7">
        <f>IF(PaymentSchedule3[[#This Row],[PMT NO]]&lt;&gt;"",PaymentSchedule3[[#This Row],[BEGINNING BALANCE]]*(InterestRate/PaymentsPerYear),"")</f>
        <v>898.74814662853566</v>
      </c>
      <c r="J85" s="7">
        <f>IF(PaymentSchedule3[[#This Row],[PMT NO]]&lt;&gt;"",IF(PaymentSchedule3[[#This Row],[SCHEDULED PAYMENT]]+PaymentSchedule3[[#This Row],[EXTRA PAYMENT]]&lt;=PaymentSchedule3[[#This Row],[BEGINNING BALANCE]],PaymentSchedule3[[#This Row],[BEGINNING BALANCE]]-PaymentSchedule3[[#This Row],[PRINCIPAL]],0),"")</f>
        <v>283222.88882193086</v>
      </c>
      <c r="K85" s="7">
        <f>IF(PaymentSchedule3[[#This Row],[PMT NO]]&lt;&gt;"",SUM(INDEX([INTEREST],1,1):PaymentSchedule3[[#This Row],[INTEREST]]),"")</f>
        <v>66106.271921530715</v>
      </c>
    </row>
    <row r="86" spans="2:11">
      <c r="B86" s="4">
        <f>IF(LoanIsGood,IF(ROW()-ROW(PaymentSchedule3[[#Headers],[PMT NO]])&gt;ScheduledNumberOfPayments,"",ROW()-ROW(PaymentSchedule3[[#Headers],[PMT NO]])),"")</f>
        <v>70</v>
      </c>
      <c r="C86" s="5">
        <f>IF(PaymentSchedule3[[#This Row],[PMT NO]]&lt;&gt;"",EOMONTH(LoanStartDate,ROW(PaymentSchedule3[[#This Row],[PMT NO]])-ROW(PaymentSchedule3[[#Headers],[PMT NO]])-2)+DAY(LoanStartDate),"")</f>
        <v>46174</v>
      </c>
      <c r="D86" s="7">
        <f>IF(PaymentSchedule3[[#This Row],[PMT NO]]&lt;&gt;"",IF(ROW()-ROW(PaymentSchedule3[[#Headers],[BEGINNING BALANCE]])=1,LoanAmount,INDEX([ENDING BALANCE],ROW()-ROW(PaymentSchedule3[[#Headers],[BEGINNING BALANCE]])-1)),"")</f>
        <v>283222.88882193086</v>
      </c>
      <c r="E86" s="7">
        <f>IF(PaymentSchedule3[[#This Row],[PMT NO]]&lt;&gt;"",ScheduledPayment,"")</f>
        <v>1491.0635231826082</v>
      </c>
      <c r="F8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86" s="7">
        <f>IF(PaymentSchedule3[[#This Row],[PMT NO]]&lt;&gt;"",PaymentSchedule3[[#This Row],[TOTAL PAYMENT]]-PaymentSchedule3[[#This Row],[INTEREST]],"")</f>
        <v>594.19104191316046</v>
      </c>
      <c r="I86" s="7">
        <f>IF(PaymentSchedule3[[#This Row],[PMT NO]]&lt;&gt;"",PaymentSchedule3[[#This Row],[BEGINNING BALANCE]]*(InterestRate/PaymentsPerYear),"")</f>
        <v>896.87248126944769</v>
      </c>
      <c r="J86" s="7">
        <f>IF(PaymentSchedule3[[#This Row],[PMT NO]]&lt;&gt;"",IF(PaymentSchedule3[[#This Row],[SCHEDULED PAYMENT]]+PaymentSchedule3[[#This Row],[EXTRA PAYMENT]]&lt;=PaymentSchedule3[[#This Row],[BEGINNING BALANCE]],PaymentSchedule3[[#This Row],[BEGINNING BALANCE]]-PaymentSchedule3[[#This Row],[PRINCIPAL]],0),"")</f>
        <v>282628.69778001768</v>
      </c>
      <c r="K86" s="7">
        <f>IF(PaymentSchedule3[[#This Row],[PMT NO]]&lt;&gt;"",SUM(INDEX([INTEREST],1,1):PaymentSchedule3[[#This Row],[INTEREST]]),"")</f>
        <v>67003.144402800157</v>
      </c>
    </row>
    <row r="87" spans="2:11">
      <c r="B87" s="4">
        <f>IF(LoanIsGood,IF(ROW()-ROW(PaymentSchedule3[[#Headers],[PMT NO]])&gt;ScheduledNumberOfPayments,"",ROW()-ROW(PaymentSchedule3[[#Headers],[PMT NO]])),"")</f>
        <v>71</v>
      </c>
      <c r="C87" s="5">
        <f>IF(PaymentSchedule3[[#This Row],[PMT NO]]&lt;&gt;"",EOMONTH(LoanStartDate,ROW(PaymentSchedule3[[#This Row],[PMT NO]])-ROW(PaymentSchedule3[[#Headers],[PMT NO]])-2)+DAY(LoanStartDate),"")</f>
        <v>46204</v>
      </c>
      <c r="D87" s="7">
        <f>IF(PaymentSchedule3[[#This Row],[PMT NO]]&lt;&gt;"",IF(ROW()-ROW(PaymentSchedule3[[#Headers],[BEGINNING BALANCE]])=1,LoanAmount,INDEX([ENDING BALANCE],ROW()-ROW(PaymentSchedule3[[#Headers],[BEGINNING BALANCE]])-1)),"")</f>
        <v>282628.69778001768</v>
      </c>
      <c r="E87" s="7">
        <f>IF(PaymentSchedule3[[#This Row],[PMT NO]]&lt;&gt;"",ScheduledPayment,"")</f>
        <v>1491.0635231826082</v>
      </c>
      <c r="F8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87" s="7">
        <f>IF(PaymentSchedule3[[#This Row],[PMT NO]]&lt;&gt;"",PaymentSchedule3[[#This Row],[TOTAL PAYMENT]]-PaymentSchedule3[[#This Row],[INTEREST]],"")</f>
        <v>596.07264687921884</v>
      </c>
      <c r="I87" s="7">
        <f>IF(PaymentSchedule3[[#This Row],[PMT NO]]&lt;&gt;"",PaymentSchedule3[[#This Row],[BEGINNING BALANCE]]*(InterestRate/PaymentsPerYear),"")</f>
        <v>894.99087630338931</v>
      </c>
      <c r="J87" s="7">
        <f>IF(PaymentSchedule3[[#This Row],[PMT NO]]&lt;&gt;"",IF(PaymentSchedule3[[#This Row],[SCHEDULED PAYMENT]]+PaymentSchedule3[[#This Row],[EXTRA PAYMENT]]&lt;=PaymentSchedule3[[#This Row],[BEGINNING BALANCE]],PaymentSchedule3[[#This Row],[BEGINNING BALANCE]]-PaymentSchedule3[[#This Row],[PRINCIPAL]],0),"")</f>
        <v>282032.62513313844</v>
      </c>
      <c r="K87" s="7">
        <f>IF(PaymentSchedule3[[#This Row],[PMT NO]]&lt;&gt;"",SUM(INDEX([INTEREST],1,1):PaymentSchedule3[[#This Row],[INTEREST]]),"")</f>
        <v>67898.135279103546</v>
      </c>
    </row>
    <row r="88" spans="2:11">
      <c r="B88" s="4">
        <f>IF(LoanIsGood,IF(ROW()-ROW(PaymentSchedule3[[#Headers],[PMT NO]])&gt;ScheduledNumberOfPayments,"",ROW()-ROW(PaymentSchedule3[[#Headers],[PMT NO]])),"")</f>
        <v>72</v>
      </c>
      <c r="C88" s="5">
        <f>IF(PaymentSchedule3[[#This Row],[PMT NO]]&lt;&gt;"",EOMONTH(LoanStartDate,ROW(PaymentSchedule3[[#This Row],[PMT NO]])-ROW(PaymentSchedule3[[#Headers],[PMT NO]])-2)+DAY(LoanStartDate),"")</f>
        <v>46235</v>
      </c>
      <c r="D88" s="7">
        <f>IF(PaymentSchedule3[[#This Row],[PMT NO]]&lt;&gt;"",IF(ROW()-ROW(PaymentSchedule3[[#Headers],[BEGINNING BALANCE]])=1,LoanAmount,INDEX([ENDING BALANCE],ROW()-ROW(PaymentSchedule3[[#Headers],[BEGINNING BALANCE]])-1)),"")</f>
        <v>282032.62513313844</v>
      </c>
      <c r="E88" s="7">
        <f>IF(PaymentSchedule3[[#This Row],[PMT NO]]&lt;&gt;"",ScheduledPayment,"")</f>
        <v>1491.0635231826082</v>
      </c>
      <c r="F8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88" s="7">
        <f>IF(PaymentSchedule3[[#This Row],[PMT NO]]&lt;&gt;"",PaymentSchedule3[[#This Row],[TOTAL PAYMENT]]-PaymentSchedule3[[#This Row],[INTEREST]],"")</f>
        <v>597.96021026100311</v>
      </c>
      <c r="I88" s="7">
        <f>IF(PaymentSchedule3[[#This Row],[PMT NO]]&lt;&gt;"",PaymentSchedule3[[#This Row],[BEGINNING BALANCE]]*(InterestRate/PaymentsPerYear),"")</f>
        <v>893.10331292160504</v>
      </c>
      <c r="J88" s="7">
        <f>IF(PaymentSchedule3[[#This Row],[PMT NO]]&lt;&gt;"",IF(PaymentSchedule3[[#This Row],[SCHEDULED PAYMENT]]+PaymentSchedule3[[#This Row],[EXTRA PAYMENT]]&lt;=PaymentSchedule3[[#This Row],[BEGINNING BALANCE]],PaymentSchedule3[[#This Row],[BEGINNING BALANCE]]-PaymentSchedule3[[#This Row],[PRINCIPAL]],0),"")</f>
        <v>281434.66492287745</v>
      </c>
      <c r="K88" s="7">
        <f>IF(PaymentSchedule3[[#This Row],[PMT NO]]&lt;&gt;"",SUM(INDEX([INTEREST],1,1):PaymentSchedule3[[#This Row],[INTEREST]]),"")</f>
        <v>68791.238592025155</v>
      </c>
    </row>
    <row r="89" spans="2:11">
      <c r="B89" s="4">
        <f>IF(LoanIsGood,IF(ROW()-ROW(PaymentSchedule3[[#Headers],[PMT NO]])&gt;ScheduledNumberOfPayments,"",ROW()-ROW(PaymentSchedule3[[#Headers],[PMT NO]])),"")</f>
        <v>73</v>
      </c>
      <c r="C89" s="5">
        <f>IF(PaymentSchedule3[[#This Row],[PMT NO]]&lt;&gt;"",EOMONTH(LoanStartDate,ROW(PaymentSchedule3[[#This Row],[PMT NO]])-ROW(PaymentSchedule3[[#Headers],[PMT NO]])-2)+DAY(LoanStartDate),"")</f>
        <v>46266</v>
      </c>
      <c r="D89" s="7">
        <f>IF(PaymentSchedule3[[#This Row],[PMT NO]]&lt;&gt;"",IF(ROW()-ROW(PaymentSchedule3[[#Headers],[BEGINNING BALANCE]])=1,LoanAmount,INDEX([ENDING BALANCE],ROW()-ROW(PaymentSchedule3[[#Headers],[BEGINNING BALANCE]])-1)),"")</f>
        <v>281434.66492287745</v>
      </c>
      <c r="E89" s="7">
        <f>IF(PaymentSchedule3[[#This Row],[PMT NO]]&lt;&gt;"",ScheduledPayment,"")</f>
        <v>1491.0635231826082</v>
      </c>
      <c r="F8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89" s="7">
        <f>IF(PaymentSchedule3[[#This Row],[PMT NO]]&lt;&gt;"",PaymentSchedule3[[#This Row],[TOTAL PAYMENT]]-PaymentSchedule3[[#This Row],[INTEREST]],"")</f>
        <v>599.85375092682955</v>
      </c>
      <c r="I89" s="7">
        <f>IF(PaymentSchedule3[[#This Row],[PMT NO]]&lt;&gt;"",PaymentSchedule3[[#This Row],[BEGINNING BALANCE]]*(InterestRate/PaymentsPerYear),"")</f>
        <v>891.2097722557786</v>
      </c>
      <c r="J89" s="7">
        <f>IF(PaymentSchedule3[[#This Row],[PMT NO]]&lt;&gt;"",IF(PaymentSchedule3[[#This Row],[SCHEDULED PAYMENT]]+PaymentSchedule3[[#This Row],[EXTRA PAYMENT]]&lt;=PaymentSchedule3[[#This Row],[BEGINNING BALANCE]],PaymentSchedule3[[#This Row],[BEGINNING BALANCE]]-PaymentSchedule3[[#This Row],[PRINCIPAL]],0),"")</f>
        <v>280834.8111719506</v>
      </c>
      <c r="K89" s="7">
        <f>IF(PaymentSchedule3[[#This Row],[PMT NO]]&lt;&gt;"",SUM(INDEX([INTEREST],1,1):PaymentSchedule3[[#This Row],[INTEREST]]),"")</f>
        <v>69682.448364280935</v>
      </c>
    </row>
    <row r="90" spans="2:11">
      <c r="B90" s="4">
        <f>IF(LoanIsGood,IF(ROW()-ROW(PaymentSchedule3[[#Headers],[PMT NO]])&gt;ScheduledNumberOfPayments,"",ROW()-ROW(PaymentSchedule3[[#Headers],[PMT NO]])),"")</f>
        <v>74</v>
      </c>
      <c r="C90" s="5">
        <f>IF(PaymentSchedule3[[#This Row],[PMT NO]]&lt;&gt;"",EOMONTH(LoanStartDate,ROW(PaymentSchedule3[[#This Row],[PMT NO]])-ROW(PaymentSchedule3[[#Headers],[PMT NO]])-2)+DAY(LoanStartDate),"")</f>
        <v>46296</v>
      </c>
      <c r="D90" s="7">
        <f>IF(PaymentSchedule3[[#This Row],[PMT NO]]&lt;&gt;"",IF(ROW()-ROW(PaymentSchedule3[[#Headers],[BEGINNING BALANCE]])=1,LoanAmount,INDEX([ENDING BALANCE],ROW()-ROW(PaymentSchedule3[[#Headers],[BEGINNING BALANCE]])-1)),"")</f>
        <v>280834.8111719506</v>
      </c>
      <c r="E90" s="7">
        <f>IF(PaymentSchedule3[[#This Row],[PMT NO]]&lt;&gt;"",ScheduledPayment,"")</f>
        <v>1491.0635231826082</v>
      </c>
      <c r="F9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90" s="7">
        <f>IF(PaymentSchedule3[[#This Row],[PMT NO]]&lt;&gt;"",PaymentSchedule3[[#This Row],[TOTAL PAYMENT]]-PaymentSchedule3[[#This Row],[INTEREST]],"")</f>
        <v>601.75328780476457</v>
      </c>
      <c r="I90" s="7">
        <f>IF(PaymentSchedule3[[#This Row],[PMT NO]]&lt;&gt;"",PaymentSchedule3[[#This Row],[BEGINNING BALANCE]]*(InterestRate/PaymentsPerYear),"")</f>
        <v>889.31023537784358</v>
      </c>
      <c r="J90" s="7">
        <f>IF(PaymentSchedule3[[#This Row],[PMT NO]]&lt;&gt;"",IF(PaymentSchedule3[[#This Row],[SCHEDULED PAYMENT]]+PaymentSchedule3[[#This Row],[EXTRA PAYMENT]]&lt;=PaymentSchedule3[[#This Row],[BEGINNING BALANCE]],PaymentSchedule3[[#This Row],[BEGINNING BALANCE]]-PaymentSchedule3[[#This Row],[PRINCIPAL]],0),"")</f>
        <v>280233.05788414582</v>
      </c>
      <c r="K90" s="7">
        <f>IF(PaymentSchedule3[[#This Row],[PMT NO]]&lt;&gt;"",SUM(INDEX([INTEREST],1,1):PaymentSchedule3[[#This Row],[INTEREST]]),"")</f>
        <v>70571.758599658773</v>
      </c>
    </row>
    <row r="91" spans="2:11">
      <c r="B91" s="4">
        <f>IF(LoanIsGood,IF(ROW()-ROW(PaymentSchedule3[[#Headers],[PMT NO]])&gt;ScheduledNumberOfPayments,"",ROW()-ROW(PaymentSchedule3[[#Headers],[PMT NO]])),"")</f>
        <v>75</v>
      </c>
      <c r="C91" s="5">
        <f>IF(PaymentSchedule3[[#This Row],[PMT NO]]&lt;&gt;"",EOMONTH(LoanStartDate,ROW(PaymentSchedule3[[#This Row],[PMT NO]])-ROW(PaymentSchedule3[[#Headers],[PMT NO]])-2)+DAY(LoanStartDate),"")</f>
        <v>46327</v>
      </c>
      <c r="D91" s="7">
        <f>IF(PaymentSchedule3[[#This Row],[PMT NO]]&lt;&gt;"",IF(ROW()-ROW(PaymentSchedule3[[#Headers],[BEGINNING BALANCE]])=1,LoanAmount,INDEX([ENDING BALANCE],ROW()-ROW(PaymentSchedule3[[#Headers],[BEGINNING BALANCE]])-1)),"")</f>
        <v>280233.05788414582</v>
      </c>
      <c r="E91" s="7">
        <f>IF(PaymentSchedule3[[#This Row],[PMT NO]]&lt;&gt;"",ScheduledPayment,"")</f>
        <v>1491.0635231826082</v>
      </c>
      <c r="F9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91" s="7">
        <f>IF(PaymentSchedule3[[#This Row],[PMT NO]]&lt;&gt;"",PaymentSchedule3[[#This Row],[TOTAL PAYMENT]]-PaymentSchedule3[[#This Row],[INTEREST]],"")</f>
        <v>603.65883988281303</v>
      </c>
      <c r="I91" s="7">
        <f>IF(PaymentSchedule3[[#This Row],[PMT NO]]&lt;&gt;"",PaymentSchedule3[[#This Row],[BEGINNING BALANCE]]*(InterestRate/PaymentsPerYear),"")</f>
        <v>887.40468329979512</v>
      </c>
      <c r="J91" s="7">
        <f>IF(PaymentSchedule3[[#This Row],[PMT NO]]&lt;&gt;"",IF(PaymentSchedule3[[#This Row],[SCHEDULED PAYMENT]]+PaymentSchedule3[[#This Row],[EXTRA PAYMENT]]&lt;=PaymentSchedule3[[#This Row],[BEGINNING BALANCE]],PaymentSchedule3[[#This Row],[BEGINNING BALANCE]]-PaymentSchedule3[[#This Row],[PRINCIPAL]],0),"")</f>
        <v>279629.399044263</v>
      </c>
      <c r="K91" s="7">
        <f>IF(PaymentSchedule3[[#This Row],[PMT NO]]&lt;&gt;"",SUM(INDEX([INTEREST],1,1):PaymentSchedule3[[#This Row],[INTEREST]]),"")</f>
        <v>71459.163282958572</v>
      </c>
    </row>
    <row r="92" spans="2:11">
      <c r="B92" s="4">
        <f>IF(LoanIsGood,IF(ROW()-ROW(PaymentSchedule3[[#Headers],[PMT NO]])&gt;ScheduledNumberOfPayments,"",ROW()-ROW(PaymentSchedule3[[#Headers],[PMT NO]])),"")</f>
        <v>76</v>
      </c>
      <c r="C92" s="5">
        <f>IF(PaymentSchedule3[[#This Row],[PMT NO]]&lt;&gt;"",EOMONTH(LoanStartDate,ROW(PaymentSchedule3[[#This Row],[PMT NO]])-ROW(PaymentSchedule3[[#Headers],[PMT NO]])-2)+DAY(LoanStartDate),"")</f>
        <v>46357</v>
      </c>
      <c r="D92" s="7">
        <f>IF(PaymentSchedule3[[#This Row],[PMT NO]]&lt;&gt;"",IF(ROW()-ROW(PaymentSchedule3[[#Headers],[BEGINNING BALANCE]])=1,LoanAmount,INDEX([ENDING BALANCE],ROW()-ROW(PaymentSchedule3[[#Headers],[BEGINNING BALANCE]])-1)),"")</f>
        <v>279629.399044263</v>
      </c>
      <c r="E92" s="7">
        <f>IF(PaymentSchedule3[[#This Row],[PMT NO]]&lt;&gt;"",ScheduledPayment,"")</f>
        <v>1491.0635231826082</v>
      </c>
      <c r="F9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92" s="7">
        <f>IF(PaymentSchedule3[[#This Row],[PMT NO]]&lt;&gt;"",PaymentSchedule3[[#This Row],[TOTAL PAYMENT]]-PaymentSchedule3[[#This Row],[INTEREST]],"")</f>
        <v>605.57042620910863</v>
      </c>
      <c r="I92" s="7">
        <f>IF(PaymentSchedule3[[#This Row],[PMT NO]]&lt;&gt;"",PaymentSchedule3[[#This Row],[BEGINNING BALANCE]]*(InterestRate/PaymentsPerYear),"")</f>
        <v>885.49309697349952</v>
      </c>
      <c r="J92" s="7">
        <f>IF(PaymentSchedule3[[#This Row],[PMT NO]]&lt;&gt;"",IF(PaymentSchedule3[[#This Row],[SCHEDULED PAYMENT]]+PaymentSchedule3[[#This Row],[EXTRA PAYMENT]]&lt;=PaymentSchedule3[[#This Row],[BEGINNING BALANCE]],PaymentSchedule3[[#This Row],[BEGINNING BALANCE]]-PaymentSchedule3[[#This Row],[PRINCIPAL]],0),"")</f>
        <v>279023.82861805387</v>
      </c>
      <c r="K92" s="7">
        <f>IF(PaymentSchedule3[[#This Row],[PMT NO]]&lt;&gt;"",SUM(INDEX([INTEREST],1,1):PaymentSchedule3[[#This Row],[INTEREST]]),"")</f>
        <v>72344.656379932072</v>
      </c>
    </row>
    <row r="93" spans="2:11">
      <c r="B93" s="4">
        <f>IF(LoanIsGood,IF(ROW()-ROW(PaymentSchedule3[[#Headers],[PMT NO]])&gt;ScheduledNumberOfPayments,"",ROW()-ROW(PaymentSchedule3[[#Headers],[PMT NO]])),"")</f>
        <v>77</v>
      </c>
      <c r="C93" s="5">
        <f>IF(PaymentSchedule3[[#This Row],[PMT NO]]&lt;&gt;"",EOMONTH(LoanStartDate,ROW(PaymentSchedule3[[#This Row],[PMT NO]])-ROW(PaymentSchedule3[[#Headers],[PMT NO]])-2)+DAY(LoanStartDate),"")</f>
        <v>46388</v>
      </c>
      <c r="D93" s="7">
        <f>IF(PaymentSchedule3[[#This Row],[PMT NO]]&lt;&gt;"",IF(ROW()-ROW(PaymentSchedule3[[#Headers],[BEGINNING BALANCE]])=1,LoanAmount,INDEX([ENDING BALANCE],ROW()-ROW(PaymentSchedule3[[#Headers],[BEGINNING BALANCE]])-1)),"")</f>
        <v>279023.82861805387</v>
      </c>
      <c r="E93" s="7">
        <f>IF(PaymentSchedule3[[#This Row],[PMT NO]]&lt;&gt;"",ScheduledPayment,"")</f>
        <v>1491.0635231826082</v>
      </c>
      <c r="F9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93" s="7">
        <f>IF(PaymentSchedule3[[#This Row],[PMT NO]]&lt;&gt;"",PaymentSchedule3[[#This Row],[TOTAL PAYMENT]]-PaymentSchedule3[[#This Row],[INTEREST]],"")</f>
        <v>607.48806589210426</v>
      </c>
      <c r="I93" s="7">
        <f>IF(PaymentSchedule3[[#This Row],[PMT NO]]&lt;&gt;"",PaymentSchedule3[[#This Row],[BEGINNING BALANCE]]*(InterestRate/PaymentsPerYear),"")</f>
        <v>883.57545729050389</v>
      </c>
      <c r="J93" s="7">
        <f>IF(PaymentSchedule3[[#This Row],[PMT NO]]&lt;&gt;"",IF(PaymentSchedule3[[#This Row],[SCHEDULED PAYMENT]]+PaymentSchedule3[[#This Row],[EXTRA PAYMENT]]&lt;=PaymentSchedule3[[#This Row],[BEGINNING BALANCE]],PaymentSchedule3[[#This Row],[BEGINNING BALANCE]]-PaymentSchedule3[[#This Row],[PRINCIPAL]],0),"")</f>
        <v>278416.34055216174</v>
      </c>
      <c r="K93" s="7">
        <f>IF(PaymentSchedule3[[#This Row],[PMT NO]]&lt;&gt;"",SUM(INDEX([INTEREST],1,1):PaymentSchedule3[[#This Row],[INTEREST]]),"")</f>
        <v>73228.231837222571</v>
      </c>
    </row>
    <row r="94" spans="2:11">
      <c r="B94" s="4">
        <f>IF(LoanIsGood,IF(ROW()-ROW(PaymentSchedule3[[#Headers],[PMT NO]])&gt;ScheduledNumberOfPayments,"",ROW()-ROW(PaymentSchedule3[[#Headers],[PMT NO]])),"")</f>
        <v>78</v>
      </c>
      <c r="C94" s="5">
        <f>IF(PaymentSchedule3[[#This Row],[PMT NO]]&lt;&gt;"",EOMONTH(LoanStartDate,ROW(PaymentSchedule3[[#This Row],[PMT NO]])-ROW(PaymentSchedule3[[#Headers],[PMT NO]])-2)+DAY(LoanStartDate),"")</f>
        <v>46419</v>
      </c>
      <c r="D94" s="7">
        <f>IF(PaymentSchedule3[[#This Row],[PMT NO]]&lt;&gt;"",IF(ROW()-ROW(PaymentSchedule3[[#Headers],[BEGINNING BALANCE]])=1,LoanAmount,INDEX([ENDING BALANCE],ROW()-ROW(PaymentSchedule3[[#Headers],[BEGINNING BALANCE]])-1)),"")</f>
        <v>278416.34055216174</v>
      </c>
      <c r="E94" s="7">
        <f>IF(PaymentSchedule3[[#This Row],[PMT NO]]&lt;&gt;"",ScheduledPayment,"")</f>
        <v>1491.0635231826082</v>
      </c>
      <c r="F9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94" s="7">
        <f>IF(PaymentSchedule3[[#This Row],[PMT NO]]&lt;&gt;"",PaymentSchedule3[[#This Row],[TOTAL PAYMENT]]-PaymentSchedule3[[#This Row],[INTEREST]],"")</f>
        <v>609.41177810076272</v>
      </c>
      <c r="I94" s="7">
        <f>IF(PaymentSchedule3[[#This Row],[PMT NO]]&lt;&gt;"",PaymentSchedule3[[#This Row],[BEGINNING BALANCE]]*(InterestRate/PaymentsPerYear),"")</f>
        <v>881.65174508184543</v>
      </c>
      <c r="J94" s="7">
        <f>IF(PaymentSchedule3[[#This Row],[PMT NO]]&lt;&gt;"",IF(PaymentSchedule3[[#This Row],[SCHEDULED PAYMENT]]+PaymentSchedule3[[#This Row],[EXTRA PAYMENT]]&lt;=PaymentSchedule3[[#This Row],[BEGINNING BALANCE]],PaymentSchedule3[[#This Row],[BEGINNING BALANCE]]-PaymentSchedule3[[#This Row],[PRINCIPAL]],0),"")</f>
        <v>277806.92877406097</v>
      </c>
      <c r="K94" s="7">
        <f>IF(PaymentSchedule3[[#This Row],[PMT NO]]&lt;&gt;"",SUM(INDEX([INTEREST],1,1):PaymentSchedule3[[#This Row],[INTEREST]]),"")</f>
        <v>74109.883582304421</v>
      </c>
    </row>
    <row r="95" spans="2:11">
      <c r="B95" s="4">
        <f>IF(LoanIsGood,IF(ROW()-ROW(PaymentSchedule3[[#Headers],[PMT NO]])&gt;ScheduledNumberOfPayments,"",ROW()-ROW(PaymentSchedule3[[#Headers],[PMT NO]])),"")</f>
        <v>79</v>
      </c>
      <c r="C95" s="5">
        <f>IF(PaymentSchedule3[[#This Row],[PMT NO]]&lt;&gt;"",EOMONTH(LoanStartDate,ROW(PaymentSchedule3[[#This Row],[PMT NO]])-ROW(PaymentSchedule3[[#Headers],[PMT NO]])-2)+DAY(LoanStartDate),"")</f>
        <v>46447</v>
      </c>
      <c r="D95" s="7">
        <f>IF(PaymentSchedule3[[#This Row],[PMT NO]]&lt;&gt;"",IF(ROW()-ROW(PaymentSchedule3[[#Headers],[BEGINNING BALANCE]])=1,LoanAmount,INDEX([ENDING BALANCE],ROW()-ROW(PaymentSchedule3[[#Headers],[BEGINNING BALANCE]])-1)),"")</f>
        <v>277806.92877406097</v>
      </c>
      <c r="E95" s="7">
        <f>IF(PaymentSchedule3[[#This Row],[PMT NO]]&lt;&gt;"",ScheduledPayment,"")</f>
        <v>1491.0635231826082</v>
      </c>
      <c r="F9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95" s="7">
        <f>IF(PaymentSchedule3[[#This Row],[PMT NO]]&lt;&gt;"",PaymentSchedule3[[#This Row],[TOTAL PAYMENT]]-PaymentSchedule3[[#This Row],[INTEREST]],"")</f>
        <v>611.34158206474842</v>
      </c>
      <c r="I95" s="7">
        <f>IF(PaymentSchedule3[[#This Row],[PMT NO]]&lt;&gt;"",PaymentSchedule3[[#This Row],[BEGINNING BALANCE]]*(InterestRate/PaymentsPerYear),"")</f>
        <v>879.72194111785973</v>
      </c>
      <c r="J95" s="7">
        <f>IF(PaymentSchedule3[[#This Row],[PMT NO]]&lt;&gt;"",IF(PaymentSchedule3[[#This Row],[SCHEDULED PAYMENT]]+PaymentSchedule3[[#This Row],[EXTRA PAYMENT]]&lt;=PaymentSchedule3[[#This Row],[BEGINNING BALANCE]],PaymentSchedule3[[#This Row],[BEGINNING BALANCE]]-PaymentSchedule3[[#This Row],[PRINCIPAL]],0),"")</f>
        <v>277195.58719199622</v>
      </c>
      <c r="K95" s="7">
        <f>IF(PaymentSchedule3[[#This Row],[PMT NO]]&lt;&gt;"",SUM(INDEX([INTEREST],1,1):PaymentSchedule3[[#This Row],[INTEREST]]),"")</f>
        <v>74989.605523422288</v>
      </c>
    </row>
    <row r="96" spans="2:11">
      <c r="B96" s="4">
        <f>IF(LoanIsGood,IF(ROW()-ROW(PaymentSchedule3[[#Headers],[PMT NO]])&gt;ScheduledNumberOfPayments,"",ROW()-ROW(PaymentSchedule3[[#Headers],[PMT NO]])),"")</f>
        <v>80</v>
      </c>
      <c r="C96" s="5">
        <f>IF(PaymentSchedule3[[#This Row],[PMT NO]]&lt;&gt;"",EOMONTH(LoanStartDate,ROW(PaymentSchedule3[[#This Row],[PMT NO]])-ROW(PaymentSchedule3[[#Headers],[PMT NO]])-2)+DAY(LoanStartDate),"")</f>
        <v>46478</v>
      </c>
      <c r="D96" s="7">
        <f>IF(PaymentSchedule3[[#This Row],[PMT NO]]&lt;&gt;"",IF(ROW()-ROW(PaymentSchedule3[[#Headers],[BEGINNING BALANCE]])=1,LoanAmount,INDEX([ENDING BALANCE],ROW()-ROW(PaymentSchedule3[[#Headers],[BEGINNING BALANCE]])-1)),"")</f>
        <v>277195.58719199622</v>
      </c>
      <c r="E96" s="7">
        <f>IF(PaymentSchedule3[[#This Row],[PMT NO]]&lt;&gt;"",ScheduledPayment,"")</f>
        <v>1491.0635231826082</v>
      </c>
      <c r="F9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96" s="7">
        <f>IF(PaymentSchedule3[[#This Row],[PMT NO]]&lt;&gt;"",PaymentSchedule3[[#This Row],[TOTAL PAYMENT]]-PaymentSchedule3[[#This Row],[INTEREST]],"")</f>
        <v>613.2774970746201</v>
      </c>
      <c r="I96" s="7">
        <f>IF(PaymentSchedule3[[#This Row],[PMT NO]]&lt;&gt;"",PaymentSchedule3[[#This Row],[BEGINNING BALANCE]]*(InterestRate/PaymentsPerYear),"")</f>
        <v>877.78602610798805</v>
      </c>
      <c r="J96" s="7">
        <f>IF(PaymentSchedule3[[#This Row],[PMT NO]]&lt;&gt;"",IF(PaymentSchedule3[[#This Row],[SCHEDULED PAYMENT]]+PaymentSchedule3[[#This Row],[EXTRA PAYMENT]]&lt;=PaymentSchedule3[[#This Row],[BEGINNING BALANCE]],PaymentSchedule3[[#This Row],[BEGINNING BALANCE]]-PaymentSchedule3[[#This Row],[PRINCIPAL]],0),"")</f>
        <v>276582.3096949216</v>
      </c>
      <c r="K96" s="7">
        <f>IF(PaymentSchedule3[[#This Row],[PMT NO]]&lt;&gt;"",SUM(INDEX([INTEREST],1,1):PaymentSchedule3[[#This Row],[INTEREST]]),"")</f>
        <v>75867.391549530279</v>
      </c>
    </row>
    <row r="97" spans="2:11">
      <c r="B97" s="4">
        <f>IF(LoanIsGood,IF(ROW()-ROW(PaymentSchedule3[[#Headers],[PMT NO]])&gt;ScheduledNumberOfPayments,"",ROW()-ROW(PaymentSchedule3[[#Headers],[PMT NO]])),"")</f>
        <v>81</v>
      </c>
      <c r="C97" s="5">
        <f>IF(PaymentSchedule3[[#This Row],[PMT NO]]&lt;&gt;"",EOMONTH(LoanStartDate,ROW(PaymentSchedule3[[#This Row],[PMT NO]])-ROW(PaymentSchedule3[[#Headers],[PMT NO]])-2)+DAY(LoanStartDate),"")</f>
        <v>46508</v>
      </c>
      <c r="D97" s="7">
        <f>IF(PaymentSchedule3[[#This Row],[PMT NO]]&lt;&gt;"",IF(ROW()-ROW(PaymentSchedule3[[#Headers],[BEGINNING BALANCE]])=1,LoanAmount,INDEX([ENDING BALANCE],ROW()-ROW(PaymentSchedule3[[#Headers],[BEGINNING BALANCE]])-1)),"")</f>
        <v>276582.3096949216</v>
      </c>
      <c r="E97" s="7">
        <f>IF(PaymentSchedule3[[#This Row],[PMT NO]]&lt;&gt;"",ScheduledPayment,"")</f>
        <v>1491.0635231826082</v>
      </c>
      <c r="F9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97" s="7">
        <f>IF(PaymentSchedule3[[#This Row],[PMT NO]]&lt;&gt;"",PaymentSchedule3[[#This Row],[TOTAL PAYMENT]]-PaymentSchedule3[[#This Row],[INTEREST]],"")</f>
        <v>615.21954248202314</v>
      </c>
      <c r="I97" s="7">
        <f>IF(PaymentSchedule3[[#This Row],[PMT NO]]&lt;&gt;"",PaymentSchedule3[[#This Row],[BEGINNING BALANCE]]*(InterestRate/PaymentsPerYear),"")</f>
        <v>875.84398070058501</v>
      </c>
      <c r="J97" s="7">
        <f>IF(PaymentSchedule3[[#This Row],[PMT NO]]&lt;&gt;"",IF(PaymentSchedule3[[#This Row],[SCHEDULED PAYMENT]]+PaymentSchedule3[[#This Row],[EXTRA PAYMENT]]&lt;=PaymentSchedule3[[#This Row],[BEGINNING BALANCE]],PaymentSchedule3[[#This Row],[BEGINNING BALANCE]]-PaymentSchedule3[[#This Row],[PRINCIPAL]],0),"")</f>
        <v>275967.0901524396</v>
      </c>
      <c r="K97" s="7">
        <f>IF(PaymentSchedule3[[#This Row],[PMT NO]]&lt;&gt;"",SUM(INDEX([INTEREST],1,1):PaymentSchedule3[[#This Row],[INTEREST]]),"")</f>
        <v>76743.235530230857</v>
      </c>
    </row>
    <row r="98" spans="2:11">
      <c r="B98" s="4">
        <f>IF(LoanIsGood,IF(ROW()-ROW(PaymentSchedule3[[#Headers],[PMT NO]])&gt;ScheduledNumberOfPayments,"",ROW()-ROW(PaymentSchedule3[[#Headers],[PMT NO]])),"")</f>
        <v>82</v>
      </c>
      <c r="C98" s="5">
        <f>IF(PaymentSchedule3[[#This Row],[PMT NO]]&lt;&gt;"",EOMONTH(LoanStartDate,ROW(PaymentSchedule3[[#This Row],[PMT NO]])-ROW(PaymentSchedule3[[#Headers],[PMT NO]])-2)+DAY(LoanStartDate),"")</f>
        <v>46539</v>
      </c>
      <c r="D98" s="7">
        <f>IF(PaymentSchedule3[[#This Row],[PMT NO]]&lt;&gt;"",IF(ROW()-ROW(PaymentSchedule3[[#Headers],[BEGINNING BALANCE]])=1,LoanAmount,INDEX([ENDING BALANCE],ROW()-ROW(PaymentSchedule3[[#Headers],[BEGINNING BALANCE]])-1)),"")</f>
        <v>275967.0901524396</v>
      </c>
      <c r="E98" s="7">
        <f>IF(PaymentSchedule3[[#This Row],[PMT NO]]&lt;&gt;"",ScheduledPayment,"")</f>
        <v>1491.0635231826082</v>
      </c>
      <c r="F9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98" s="7">
        <f>IF(PaymentSchedule3[[#This Row],[PMT NO]]&lt;&gt;"",PaymentSchedule3[[#This Row],[TOTAL PAYMENT]]-PaymentSchedule3[[#This Row],[INTEREST]],"")</f>
        <v>617.16773769988276</v>
      </c>
      <c r="I98" s="7">
        <f>IF(PaymentSchedule3[[#This Row],[PMT NO]]&lt;&gt;"",PaymentSchedule3[[#This Row],[BEGINNING BALANCE]]*(InterestRate/PaymentsPerYear),"")</f>
        <v>873.89578548272539</v>
      </c>
      <c r="J98" s="7">
        <f>IF(PaymentSchedule3[[#This Row],[PMT NO]]&lt;&gt;"",IF(PaymentSchedule3[[#This Row],[SCHEDULED PAYMENT]]+PaymentSchedule3[[#This Row],[EXTRA PAYMENT]]&lt;=PaymentSchedule3[[#This Row],[BEGINNING BALANCE]],PaymentSchedule3[[#This Row],[BEGINNING BALANCE]]-PaymentSchedule3[[#This Row],[PRINCIPAL]],0),"")</f>
        <v>275349.92241473973</v>
      </c>
      <c r="K98" s="7">
        <f>IF(PaymentSchedule3[[#This Row],[PMT NO]]&lt;&gt;"",SUM(INDEX([INTEREST],1,1):PaymentSchedule3[[#This Row],[INTEREST]]),"")</f>
        <v>77617.131315713588</v>
      </c>
    </row>
    <row r="99" spans="2:11">
      <c r="B99" s="4">
        <f>IF(LoanIsGood,IF(ROW()-ROW(PaymentSchedule3[[#Headers],[PMT NO]])&gt;ScheduledNumberOfPayments,"",ROW()-ROW(PaymentSchedule3[[#Headers],[PMT NO]])),"")</f>
        <v>83</v>
      </c>
      <c r="C99" s="5">
        <f>IF(PaymentSchedule3[[#This Row],[PMT NO]]&lt;&gt;"",EOMONTH(LoanStartDate,ROW(PaymentSchedule3[[#This Row],[PMT NO]])-ROW(PaymentSchedule3[[#Headers],[PMT NO]])-2)+DAY(LoanStartDate),"")</f>
        <v>46569</v>
      </c>
      <c r="D99" s="7">
        <f>IF(PaymentSchedule3[[#This Row],[PMT NO]]&lt;&gt;"",IF(ROW()-ROW(PaymentSchedule3[[#Headers],[BEGINNING BALANCE]])=1,LoanAmount,INDEX([ENDING BALANCE],ROW()-ROW(PaymentSchedule3[[#Headers],[BEGINNING BALANCE]])-1)),"")</f>
        <v>275349.92241473973</v>
      </c>
      <c r="E99" s="7">
        <f>IF(PaymentSchedule3[[#This Row],[PMT NO]]&lt;&gt;"",ScheduledPayment,"")</f>
        <v>1491.0635231826082</v>
      </c>
      <c r="F9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99" s="7">
        <f>IF(PaymentSchedule3[[#This Row],[PMT NO]]&lt;&gt;"",PaymentSchedule3[[#This Row],[TOTAL PAYMENT]]-PaymentSchedule3[[#This Row],[INTEREST]],"")</f>
        <v>619.12210220259897</v>
      </c>
      <c r="I99" s="7">
        <f>IF(PaymentSchedule3[[#This Row],[PMT NO]]&lt;&gt;"",PaymentSchedule3[[#This Row],[BEGINNING BALANCE]]*(InterestRate/PaymentsPerYear),"")</f>
        <v>871.94142098000918</v>
      </c>
      <c r="J99" s="7">
        <f>IF(PaymentSchedule3[[#This Row],[PMT NO]]&lt;&gt;"",IF(PaymentSchedule3[[#This Row],[SCHEDULED PAYMENT]]+PaymentSchedule3[[#This Row],[EXTRA PAYMENT]]&lt;=PaymentSchedule3[[#This Row],[BEGINNING BALANCE]],PaymentSchedule3[[#This Row],[BEGINNING BALANCE]]-PaymentSchedule3[[#This Row],[PRINCIPAL]],0),"")</f>
        <v>274730.80031253712</v>
      </c>
      <c r="K99" s="7">
        <f>IF(PaymentSchedule3[[#This Row],[PMT NO]]&lt;&gt;"",SUM(INDEX([INTEREST],1,1):PaymentSchedule3[[#This Row],[INTEREST]]),"")</f>
        <v>78489.072736693604</v>
      </c>
    </row>
    <row r="100" spans="2:11">
      <c r="B100" s="4">
        <f>IF(LoanIsGood,IF(ROW()-ROW(PaymentSchedule3[[#Headers],[PMT NO]])&gt;ScheduledNumberOfPayments,"",ROW()-ROW(PaymentSchedule3[[#Headers],[PMT NO]])),"")</f>
        <v>84</v>
      </c>
      <c r="C100" s="5">
        <f>IF(PaymentSchedule3[[#This Row],[PMT NO]]&lt;&gt;"",EOMONTH(LoanStartDate,ROW(PaymentSchedule3[[#This Row],[PMT NO]])-ROW(PaymentSchedule3[[#Headers],[PMT NO]])-2)+DAY(LoanStartDate),"")</f>
        <v>46600</v>
      </c>
      <c r="D100" s="7">
        <f>IF(PaymentSchedule3[[#This Row],[PMT NO]]&lt;&gt;"",IF(ROW()-ROW(PaymentSchedule3[[#Headers],[BEGINNING BALANCE]])=1,LoanAmount,INDEX([ENDING BALANCE],ROW()-ROW(PaymentSchedule3[[#Headers],[BEGINNING BALANCE]])-1)),"")</f>
        <v>274730.80031253712</v>
      </c>
      <c r="E100" s="7">
        <f>IF(PaymentSchedule3[[#This Row],[PMT NO]]&lt;&gt;"",ScheduledPayment,"")</f>
        <v>1491.0635231826082</v>
      </c>
      <c r="F10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00" s="7">
        <f>IF(PaymentSchedule3[[#This Row],[PMT NO]]&lt;&gt;"",PaymentSchedule3[[#This Row],[TOTAL PAYMENT]]-PaymentSchedule3[[#This Row],[INTEREST]],"")</f>
        <v>621.08265552624061</v>
      </c>
      <c r="I100" s="7">
        <f>IF(PaymentSchedule3[[#This Row],[PMT NO]]&lt;&gt;"",PaymentSchedule3[[#This Row],[BEGINNING BALANCE]]*(InterestRate/PaymentsPerYear),"")</f>
        <v>869.98086765636754</v>
      </c>
      <c r="J100" s="7">
        <f>IF(PaymentSchedule3[[#This Row],[PMT NO]]&lt;&gt;"",IF(PaymentSchedule3[[#This Row],[SCHEDULED PAYMENT]]+PaymentSchedule3[[#This Row],[EXTRA PAYMENT]]&lt;=PaymentSchedule3[[#This Row],[BEGINNING BALANCE]],PaymentSchedule3[[#This Row],[BEGINNING BALANCE]]-PaymentSchedule3[[#This Row],[PRINCIPAL]],0),"")</f>
        <v>274109.71765701089</v>
      </c>
      <c r="K100" s="7">
        <f>IF(PaymentSchedule3[[#This Row],[PMT NO]]&lt;&gt;"",SUM(INDEX([INTEREST],1,1):PaymentSchedule3[[#This Row],[INTEREST]]),"")</f>
        <v>79359.053604349974</v>
      </c>
    </row>
    <row r="101" spans="2:11">
      <c r="B101" s="4">
        <f>IF(LoanIsGood,IF(ROW()-ROW(PaymentSchedule3[[#Headers],[PMT NO]])&gt;ScheduledNumberOfPayments,"",ROW()-ROW(PaymentSchedule3[[#Headers],[PMT NO]])),"")</f>
        <v>85</v>
      </c>
      <c r="C101" s="5">
        <f>IF(PaymentSchedule3[[#This Row],[PMT NO]]&lt;&gt;"",EOMONTH(LoanStartDate,ROW(PaymentSchedule3[[#This Row],[PMT NO]])-ROW(PaymentSchedule3[[#Headers],[PMT NO]])-2)+DAY(LoanStartDate),"")</f>
        <v>46631</v>
      </c>
      <c r="D101" s="7">
        <f>IF(PaymentSchedule3[[#This Row],[PMT NO]]&lt;&gt;"",IF(ROW()-ROW(PaymentSchedule3[[#Headers],[BEGINNING BALANCE]])=1,LoanAmount,INDEX([ENDING BALANCE],ROW()-ROW(PaymentSchedule3[[#Headers],[BEGINNING BALANCE]])-1)),"")</f>
        <v>274109.71765701089</v>
      </c>
      <c r="E101" s="7">
        <f>IF(PaymentSchedule3[[#This Row],[PMT NO]]&lt;&gt;"",ScheduledPayment,"")</f>
        <v>1491.0635231826082</v>
      </c>
      <c r="F10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01" s="7">
        <f>IF(PaymentSchedule3[[#This Row],[PMT NO]]&lt;&gt;"",PaymentSchedule3[[#This Row],[TOTAL PAYMENT]]-PaymentSchedule3[[#This Row],[INTEREST]],"")</f>
        <v>623.0494172687404</v>
      </c>
      <c r="I101" s="7">
        <f>IF(PaymentSchedule3[[#This Row],[PMT NO]]&lt;&gt;"",PaymentSchedule3[[#This Row],[BEGINNING BALANCE]]*(InterestRate/PaymentsPerYear),"")</f>
        <v>868.01410591386775</v>
      </c>
      <c r="J101" s="7">
        <f>IF(PaymentSchedule3[[#This Row],[PMT NO]]&lt;&gt;"",IF(PaymentSchedule3[[#This Row],[SCHEDULED PAYMENT]]+PaymentSchedule3[[#This Row],[EXTRA PAYMENT]]&lt;=PaymentSchedule3[[#This Row],[BEGINNING BALANCE]],PaymentSchedule3[[#This Row],[BEGINNING BALANCE]]-PaymentSchedule3[[#This Row],[PRINCIPAL]],0),"")</f>
        <v>273486.66823974217</v>
      </c>
      <c r="K101" s="7">
        <f>IF(PaymentSchedule3[[#This Row],[PMT NO]]&lt;&gt;"",SUM(INDEX([INTEREST],1,1):PaymentSchedule3[[#This Row],[INTEREST]]),"")</f>
        <v>80227.067710263844</v>
      </c>
    </row>
    <row r="102" spans="2:11">
      <c r="B102" s="4">
        <f>IF(LoanIsGood,IF(ROW()-ROW(PaymentSchedule3[[#Headers],[PMT NO]])&gt;ScheduledNumberOfPayments,"",ROW()-ROW(PaymentSchedule3[[#Headers],[PMT NO]])),"")</f>
        <v>86</v>
      </c>
      <c r="C102" s="5">
        <f>IF(PaymentSchedule3[[#This Row],[PMT NO]]&lt;&gt;"",EOMONTH(LoanStartDate,ROW(PaymentSchedule3[[#This Row],[PMT NO]])-ROW(PaymentSchedule3[[#Headers],[PMT NO]])-2)+DAY(LoanStartDate),"")</f>
        <v>46661</v>
      </c>
      <c r="D102" s="7">
        <f>IF(PaymentSchedule3[[#This Row],[PMT NO]]&lt;&gt;"",IF(ROW()-ROW(PaymentSchedule3[[#Headers],[BEGINNING BALANCE]])=1,LoanAmount,INDEX([ENDING BALANCE],ROW()-ROW(PaymentSchedule3[[#Headers],[BEGINNING BALANCE]])-1)),"")</f>
        <v>273486.66823974217</v>
      </c>
      <c r="E102" s="7">
        <f>IF(PaymentSchedule3[[#This Row],[PMT NO]]&lt;&gt;"",ScheduledPayment,"")</f>
        <v>1491.0635231826082</v>
      </c>
      <c r="F10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02" s="7">
        <f>IF(PaymentSchedule3[[#This Row],[PMT NO]]&lt;&gt;"",PaymentSchedule3[[#This Row],[TOTAL PAYMENT]]-PaymentSchedule3[[#This Row],[INTEREST]],"")</f>
        <v>625.02240709009129</v>
      </c>
      <c r="I102" s="7">
        <f>IF(PaymentSchedule3[[#This Row],[PMT NO]]&lt;&gt;"",PaymentSchedule3[[#This Row],[BEGINNING BALANCE]]*(InterestRate/PaymentsPerYear),"")</f>
        <v>866.04111609251686</v>
      </c>
      <c r="J102" s="7">
        <f>IF(PaymentSchedule3[[#This Row],[PMT NO]]&lt;&gt;"",IF(PaymentSchedule3[[#This Row],[SCHEDULED PAYMENT]]+PaymentSchedule3[[#This Row],[EXTRA PAYMENT]]&lt;=PaymentSchedule3[[#This Row],[BEGINNING BALANCE]],PaymentSchedule3[[#This Row],[BEGINNING BALANCE]]-PaymentSchedule3[[#This Row],[PRINCIPAL]],0),"")</f>
        <v>272861.64583265205</v>
      </c>
      <c r="K102" s="7">
        <f>IF(PaymentSchedule3[[#This Row],[PMT NO]]&lt;&gt;"",SUM(INDEX([INTEREST],1,1):PaymentSchedule3[[#This Row],[INTEREST]]),"")</f>
        <v>81093.108826356358</v>
      </c>
    </row>
    <row r="103" spans="2:11">
      <c r="B103" s="4">
        <f>IF(LoanIsGood,IF(ROW()-ROW(PaymentSchedule3[[#Headers],[PMT NO]])&gt;ScheduledNumberOfPayments,"",ROW()-ROW(PaymentSchedule3[[#Headers],[PMT NO]])),"")</f>
        <v>87</v>
      </c>
      <c r="C103" s="5">
        <f>IF(PaymentSchedule3[[#This Row],[PMT NO]]&lt;&gt;"",EOMONTH(LoanStartDate,ROW(PaymentSchedule3[[#This Row],[PMT NO]])-ROW(PaymentSchedule3[[#Headers],[PMT NO]])-2)+DAY(LoanStartDate),"")</f>
        <v>46692</v>
      </c>
      <c r="D103" s="7">
        <f>IF(PaymentSchedule3[[#This Row],[PMT NO]]&lt;&gt;"",IF(ROW()-ROW(PaymentSchedule3[[#Headers],[BEGINNING BALANCE]])=1,LoanAmount,INDEX([ENDING BALANCE],ROW()-ROW(PaymentSchedule3[[#Headers],[BEGINNING BALANCE]])-1)),"")</f>
        <v>272861.64583265205</v>
      </c>
      <c r="E103" s="7">
        <f>IF(PaymentSchedule3[[#This Row],[PMT NO]]&lt;&gt;"",ScheduledPayment,"")</f>
        <v>1491.0635231826082</v>
      </c>
      <c r="F10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03" s="7">
        <f>IF(PaymentSchedule3[[#This Row],[PMT NO]]&lt;&gt;"",PaymentSchedule3[[#This Row],[TOTAL PAYMENT]]-PaymentSchedule3[[#This Row],[INTEREST]],"")</f>
        <v>627.00164471254334</v>
      </c>
      <c r="I103" s="7">
        <f>IF(PaymentSchedule3[[#This Row],[PMT NO]]&lt;&gt;"",PaymentSchedule3[[#This Row],[BEGINNING BALANCE]]*(InterestRate/PaymentsPerYear),"")</f>
        <v>864.06187847006481</v>
      </c>
      <c r="J103" s="7">
        <f>IF(PaymentSchedule3[[#This Row],[PMT NO]]&lt;&gt;"",IF(PaymentSchedule3[[#This Row],[SCHEDULED PAYMENT]]+PaymentSchedule3[[#This Row],[EXTRA PAYMENT]]&lt;=PaymentSchedule3[[#This Row],[BEGINNING BALANCE]],PaymentSchedule3[[#This Row],[BEGINNING BALANCE]]-PaymentSchedule3[[#This Row],[PRINCIPAL]],0),"")</f>
        <v>272234.64418793953</v>
      </c>
      <c r="K103" s="7">
        <f>IF(PaymentSchedule3[[#This Row],[PMT NO]]&lt;&gt;"",SUM(INDEX([INTEREST],1,1):PaymentSchedule3[[#This Row],[INTEREST]]),"")</f>
        <v>81957.170704826422</v>
      </c>
    </row>
    <row r="104" spans="2:11">
      <c r="B104" s="4">
        <f>IF(LoanIsGood,IF(ROW()-ROW(PaymentSchedule3[[#Headers],[PMT NO]])&gt;ScheduledNumberOfPayments,"",ROW()-ROW(PaymentSchedule3[[#Headers],[PMT NO]])),"")</f>
        <v>88</v>
      </c>
      <c r="C104" s="5">
        <f>IF(PaymentSchedule3[[#This Row],[PMT NO]]&lt;&gt;"",EOMONTH(LoanStartDate,ROW(PaymentSchedule3[[#This Row],[PMT NO]])-ROW(PaymentSchedule3[[#Headers],[PMT NO]])-2)+DAY(LoanStartDate),"")</f>
        <v>46722</v>
      </c>
      <c r="D104" s="7">
        <f>IF(PaymentSchedule3[[#This Row],[PMT NO]]&lt;&gt;"",IF(ROW()-ROW(PaymentSchedule3[[#Headers],[BEGINNING BALANCE]])=1,LoanAmount,INDEX([ENDING BALANCE],ROW()-ROW(PaymentSchedule3[[#Headers],[BEGINNING BALANCE]])-1)),"")</f>
        <v>272234.64418793953</v>
      </c>
      <c r="E104" s="7">
        <f>IF(PaymentSchedule3[[#This Row],[PMT NO]]&lt;&gt;"",ScheduledPayment,"")</f>
        <v>1491.0635231826082</v>
      </c>
      <c r="F10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04" s="7">
        <f>IF(PaymentSchedule3[[#This Row],[PMT NO]]&lt;&gt;"",PaymentSchedule3[[#This Row],[TOTAL PAYMENT]]-PaymentSchedule3[[#This Row],[INTEREST]],"")</f>
        <v>628.98714992079965</v>
      </c>
      <c r="I104" s="7">
        <f>IF(PaymentSchedule3[[#This Row],[PMT NO]]&lt;&gt;"",PaymentSchedule3[[#This Row],[BEGINNING BALANCE]]*(InterestRate/PaymentsPerYear),"")</f>
        <v>862.0763732618085</v>
      </c>
      <c r="J104" s="7">
        <f>IF(PaymentSchedule3[[#This Row],[PMT NO]]&lt;&gt;"",IF(PaymentSchedule3[[#This Row],[SCHEDULED PAYMENT]]+PaymentSchedule3[[#This Row],[EXTRA PAYMENT]]&lt;=PaymentSchedule3[[#This Row],[BEGINNING BALANCE]],PaymentSchedule3[[#This Row],[BEGINNING BALANCE]]-PaymentSchedule3[[#This Row],[PRINCIPAL]],0),"")</f>
        <v>271605.65703801875</v>
      </c>
      <c r="K104" s="7">
        <f>IF(PaymentSchedule3[[#This Row],[PMT NO]]&lt;&gt;"",SUM(INDEX([INTEREST],1,1):PaymentSchedule3[[#This Row],[INTEREST]]),"")</f>
        <v>82819.247078088229</v>
      </c>
    </row>
    <row r="105" spans="2:11">
      <c r="B105" s="4">
        <f>IF(LoanIsGood,IF(ROW()-ROW(PaymentSchedule3[[#Headers],[PMT NO]])&gt;ScheduledNumberOfPayments,"",ROW()-ROW(PaymentSchedule3[[#Headers],[PMT NO]])),"")</f>
        <v>89</v>
      </c>
      <c r="C105" s="5">
        <f>IF(PaymentSchedule3[[#This Row],[PMT NO]]&lt;&gt;"",EOMONTH(LoanStartDate,ROW(PaymentSchedule3[[#This Row],[PMT NO]])-ROW(PaymentSchedule3[[#Headers],[PMT NO]])-2)+DAY(LoanStartDate),"")</f>
        <v>46753</v>
      </c>
      <c r="D105" s="7">
        <f>IF(PaymentSchedule3[[#This Row],[PMT NO]]&lt;&gt;"",IF(ROW()-ROW(PaymentSchedule3[[#Headers],[BEGINNING BALANCE]])=1,LoanAmount,INDEX([ENDING BALANCE],ROW()-ROW(PaymentSchedule3[[#Headers],[BEGINNING BALANCE]])-1)),"")</f>
        <v>271605.65703801875</v>
      </c>
      <c r="E105" s="7">
        <f>IF(PaymentSchedule3[[#This Row],[PMT NO]]&lt;&gt;"",ScheduledPayment,"")</f>
        <v>1491.0635231826082</v>
      </c>
      <c r="F10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05" s="7">
        <f>IF(PaymentSchedule3[[#This Row],[PMT NO]]&lt;&gt;"",PaymentSchedule3[[#This Row],[TOTAL PAYMENT]]-PaymentSchedule3[[#This Row],[INTEREST]],"")</f>
        <v>630.97894256221548</v>
      </c>
      <c r="I105" s="7">
        <f>IF(PaymentSchedule3[[#This Row],[PMT NO]]&lt;&gt;"",PaymentSchedule3[[#This Row],[BEGINNING BALANCE]]*(InterestRate/PaymentsPerYear),"")</f>
        <v>860.08458062039267</v>
      </c>
      <c r="J105" s="7">
        <f>IF(PaymentSchedule3[[#This Row],[PMT NO]]&lt;&gt;"",IF(PaymentSchedule3[[#This Row],[SCHEDULED PAYMENT]]+PaymentSchedule3[[#This Row],[EXTRA PAYMENT]]&lt;=PaymentSchedule3[[#This Row],[BEGINNING BALANCE]],PaymentSchedule3[[#This Row],[BEGINNING BALANCE]]-PaymentSchedule3[[#This Row],[PRINCIPAL]],0),"")</f>
        <v>270974.6780954565</v>
      </c>
      <c r="K105" s="7">
        <f>IF(PaymentSchedule3[[#This Row],[PMT NO]]&lt;&gt;"",SUM(INDEX([INTEREST],1,1):PaymentSchedule3[[#This Row],[INTEREST]]),"")</f>
        <v>83679.331658708616</v>
      </c>
    </row>
    <row r="106" spans="2:11">
      <c r="B106" s="4">
        <f>IF(LoanIsGood,IF(ROW()-ROW(PaymentSchedule3[[#Headers],[PMT NO]])&gt;ScheduledNumberOfPayments,"",ROW()-ROW(PaymentSchedule3[[#Headers],[PMT NO]])),"")</f>
        <v>90</v>
      </c>
      <c r="C106" s="5">
        <f>IF(PaymentSchedule3[[#This Row],[PMT NO]]&lt;&gt;"",EOMONTH(LoanStartDate,ROW(PaymentSchedule3[[#This Row],[PMT NO]])-ROW(PaymentSchedule3[[#Headers],[PMT NO]])-2)+DAY(LoanStartDate),"")</f>
        <v>46784</v>
      </c>
      <c r="D106" s="7">
        <f>IF(PaymentSchedule3[[#This Row],[PMT NO]]&lt;&gt;"",IF(ROW()-ROW(PaymentSchedule3[[#Headers],[BEGINNING BALANCE]])=1,LoanAmount,INDEX([ENDING BALANCE],ROW()-ROW(PaymentSchedule3[[#Headers],[BEGINNING BALANCE]])-1)),"")</f>
        <v>270974.6780954565</v>
      </c>
      <c r="E106" s="7">
        <f>IF(PaymentSchedule3[[#This Row],[PMT NO]]&lt;&gt;"",ScheduledPayment,"")</f>
        <v>1491.0635231826082</v>
      </c>
      <c r="F10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06" s="7">
        <f>IF(PaymentSchedule3[[#This Row],[PMT NO]]&lt;&gt;"",PaymentSchedule3[[#This Row],[TOTAL PAYMENT]]-PaymentSchedule3[[#This Row],[INTEREST]],"")</f>
        <v>632.9770425469959</v>
      </c>
      <c r="I106" s="7">
        <f>IF(PaymentSchedule3[[#This Row],[PMT NO]]&lt;&gt;"",PaymentSchedule3[[#This Row],[BEGINNING BALANCE]]*(InterestRate/PaymentsPerYear),"")</f>
        <v>858.08648063561225</v>
      </c>
      <c r="J106" s="7">
        <f>IF(PaymentSchedule3[[#This Row],[PMT NO]]&lt;&gt;"",IF(PaymentSchedule3[[#This Row],[SCHEDULED PAYMENT]]+PaymentSchedule3[[#This Row],[EXTRA PAYMENT]]&lt;=PaymentSchedule3[[#This Row],[BEGINNING BALANCE]],PaymentSchedule3[[#This Row],[BEGINNING BALANCE]]-PaymentSchedule3[[#This Row],[PRINCIPAL]],0),"")</f>
        <v>270341.70105290948</v>
      </c>
      <c r="K106" s="7">
        <f>IF(PaymentSchedule3[[#This Row],[PMT NO]]&lt;&gt;"",SUM(INDEX([INTEREST],1,1):PaymentSchedule3[[#This Row],[INTEREST]]),"")</f>
        <v>84537.418139344227</v>
      </c>
    </row>
    <row r="107" spans="2:11">
      <c r="B107" s="4">
        <f>IF(LoanIsGood,IF(ROW()-ROW(PaymentSchedule3[[#Headers],[PMT NO]])&gt;ScheduledNumberOfPayments,"",ROW()-ROW(PaymentSchedule3[[#Headers],[PMT NO]])),"")</f>
        <v>91</v>
      </c>
      <c r="C107" s="5">
        <f>IF(PaymentSchedule3[[#This Row],[PMT NO]]&lt;&gt;"",EOMONTH(LoanStartDate,ROW(PaymentSchedule3[[#This Row],[PMT NO]])-ROW(PaymentSchedule3[[#Headers],[PMT NO]])-2)+DAY(LoanStartDate),"")</f>
        <v>46813</v>
      </c>
      <c r="D107" s="7">
        <f>IF(PaymentSchedule3[[#This Row],[PMT NO]]&lt;&gt;"",IF(ROW()-ROW(PaymentSchedule3[[#Headers],[BEGINNING BALANCE]])=1,LoanAmount,INDEX([ENDING BALANCE],ROW()-ROW(PaymentSchedule3[[#Headers],[BEGINNING BALANCE]])-1)),"")</f>
        <v>270341.70105290948</v>
      </c>
      <c r="E107" s="7">
        <f>IF(PaymentSchedule3[[#This Row],[PMT NO]]&lt;&gt;"",ScheduledPayment,"")</f>
        <v>1491.0635231826082</v>
      </c>
      <c r="F10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07" s="7">
        <f>IF(PaymentSchedule3[[#This Row],[PMT NO]]&lt;&gt;"",PaymentSchedule3[[#This Row],[TOTAL PAYMENT]]-PaymentSchedule3[[#This Row],[INTEREST]],"")</f>
        <v>634.9814698483948</v>
      </c>
      <c r="I107" s="7">
        <f>IF(PaymentSchedule3[[#This Row],[PMT NO]]&lt;&gt;"",PaymentSchedule3[[#This Row],[BEGINNING BALANCE]]*(InterestRate/PaymentsPerYear),"")</f>
        <v>856.08205333421336</v>
      </c>
      <c r="J107" s="7">
        <f>IF(PaymentSchedule3[[#This Row],[PMT NO]]&lt;&gt;"",IF(PaymentSchedule3[[#This Row],[SCHEDULED PAYMENT]]+PaymentSchedule3[[#This Row],[EXTRA PAYMENT]]&lt;=PaymentSchedule3[[#This Row],[BEGINNING BALANCE]],PaymentSchedule3[[#This Row],[BEGINNING BALANCE]]-PaymentSchedule3[[#This Row],[PRINCIPAL]],0),"")</f>
        <v>269706.71958306112</v>
      </c>
      <c r="K107" s="7">
        <f>IF(PaymentSchedule3[[#This Row],[PMT NO]]&lt;&gt;"",SUM(INDEX([INTEREST],1,1):PaymentSchedule3[[#This Row],[INTEREST]]),"")</f>
        <v>85393.500192678446</v>
      </c>
    </row>
    <row r="108" spans="2:11">
      <c r="B108" s="4">
        <f>IF(LoanIsGood,IF(ROW()-ROW(PaymentSchedule3[[#Headers],[PMT NO]])&gt;ScheduledNumberOfPayments,"",ROW()-ROW(PaymentSchedule3[[#Headers],[PMT NO]])),"")</f>
        <v>92</v>
      </c>
      <c r="C108" s="5">
        <f>IF(PaymentSchedule3[[#This Row],[PMT NO]]&lt;&gt;"",EOMONTH(LoanStartDate,ROW(PaymentSchedule3[[#This Row],[PMT NO]])-ROW(PaymentSchedule3[[#Headers],[PMT NO]])-2)+DAY(LoanStartDate),"")</f>
        <v>46844</v>
      </c>
      <c r="D108" s="7">
        <f>IF(PaymentSchedule3[[#This Row],[PMT NO]]&lt;&gt;"",IF(ROW()-ROW(PaymentSchedule3[[#Headers],[BEGINNING BALANCE]])=1,LoanAmount,INDEX([ENDING BALANCE],ROW()-ROW(PaymentSchedule3[[#Headers],[BEGINNING BALANCE]])-1)),"")</f>
        <v>269706.71958306112</v>
      </c>
      <c r="E108" s="7">
        <f>IF(PaymentSchedule3[[#This Row],[PMT NO]]&lt;&gt;"",ScheduledPayment,"")</f>
        <v>1491.0635231826082</v>
      </c>
      <c r="F10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08" s="7">
        <f>IF(PaymentSchedule3[[#This Row],[PMT NO]]&lt;&gt;"",PaymentSchedule3[[#This Row],[TOTAL PAYMENT]]-PaymentSchedule3[[#This Row],[INTEREST]],"")</f>
        <v>636.99224450291467</v>
      </c>
      <c r="I108" s="7">
        <f>IF(PaymentSchedule3[[#This Row],[PMT NO]]&lt;&gt;"",PaymentSchedule3[[#This Row],[BEGINNING BALANCE]]*(InterestRate/PaymentsPerYear),"")</f>
        <v>854.07127867969348</v>
      </c>
      <c r="J108" s="7">
        <f>IF(PaymentSchedule3[[#This Row],[PMT NO]]&lt;&gt;"",IF(PaymentSchedule3[[#This Row],[SCHEDULED PAYMENT]]+PaymentSchedule3[[#This Row],[EXTRA PAYMENT]]&lt;=PaymentSchedule3[[#This Row],[BEGINNING BALANCE]],PaymentSchedule3[[#This Row],[BEGINNING BALANCE]]-PaymentSchedule3[[#This Row],[PRINCIPAL]],0),"")</f>
        <v>269069.72733855818</v>
      </c>
      <c r="K108" s="7">
        <f>IF(PaymentSchedule3[[#This Row],[PMT NO]]&lt;&gt;"",SUM(INDEX([INTEREST],1,1):PaymentSchedule3[[#This Row],[INTEREST]]),"")</f>
        <v>86247.57147135814</v>
      </c>
    </row>
    <row r="109" spans="2:11">
      <c r="B109" s="4">
        <f>IF(LoanIsGood,IF(ROW()-ROW(PaymentSchedule3[[#Headers],[PMT NO]])&gt;ScheduledNumberOfPayments,"",ROW()-ROW(PaymentSchedule3[[#Headers],[PMT NO]])),"")</f>
        <v>93</v>
      </c>
      <c r="C109" s="5">
        <f>IF(PaymentSchedule3[[#This Row],[PMT NO]]&lt;&gt;"",EOMONTH(LoanStartDate,ROW(PaymentSchedule3[[#This Row],[PMT NO]])-ROW(PaymentSchedule3[[#Headers],[PMT NO]])-2)+DAY(LoanStartDate),"")</f>
        <v>46874</v>
      </c>
      <c r="D109" s="7">
        <f>IF(PaymentSchedule3[[#This Row],[PMT NO]]&lt;&gt;"",IF(ROW()-ROW(PaymentSchedule3[[#Headers],[BEGINNING BALANCE]])=1,LoanAmount,INDEX([ENDING BALANCE],ROW()-ROW(PaymentSchedule3[[#Headers],[BEGINNING BALANCE]])-1)),"")</f>
        <v>269069.72733855818</v>
      </c>
      <c r="E109" s="7">
        <f>IF(PaymentSchedule3[[#This Row],[PMT NO]]&lt;&gt;"",ScheduledPayment,"")</f>
        <v>1491.0635231826082</v>
      </c>
      <c r="F10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09" s="7">
        <f>IF(PaymentSchedule3[[#This Row],[PMT NO]]&lt;&gt;"",PaymentSchedule3[[#This Row],[TOTAL PAYMENT]]-PaymentSchedule3[[#This Row],[INTEREST]],"")</f>
        <v>639.00938661050725</v>
      </c>
      <c r="I109" s="7">
        <f>IF(PaymentSchedule3[[#This Row],[PMT NO]]&lt;&gt;"",PaymentSchedule3[[#This Row],[BEGINNING BALANCE]]*(InterestRate/PaymentsPerYear),"")</f>
        <v>852.0541365721009</v>
      </c>
      <c r="J109" s="7">
        <f>IF(PaymentSchedule3[[#This Row],[PMT NO]]&lt;&gt;"",IF(PaymentSchedule3[[#This Row],[SCHEDULED PAYMENT]]+PaymentSchedule3[[#This Row],[EXTRA PAYMENT]]&lt;=PaymentSchedule3[[#This Row],[BEGINNING BALANCE]],PaymentSchedule3[[#This Row],[BEGINNING BALANCE]]-PaymentSchedule3[[#This Row],[PRINCIPAL]],0),"")</f>
        <v>268430.71795194765</v>
      </c>
      <c r="K109" s="7">
        <f>IF(PaymentSchedule3[[#This Row],[PMT NO]]&lt;&gt;"",SUM(INDEX([INTEREST],1,1):PaymentSchedule3[[#This Row],[INTEREST]]),"")</f>
        <v>87099.62560793024</v>
      </c>
    </row>
    <row r="110" spans="2:11">
      <c r="B110" s="4">
        <f>IF(LoanIsGood,IF(ROW()-ROW(PaymentSchedule3[[#Headers],[PMT NO]])&gt;ScheduledNumberOfPayments,"",ROW()-ROW(PaymentSchedule3[[#Headers],[PMT NO]])),"")</f>
        <v>94</v>
      </c>
      <c r="C110" s="5">
        <f>IF(PaymentSchedule3[[#This Row],[PMT NO]]&lt;&gt;"",EOMONTH(LoanStartDate,ROW(PaymentSchedule3[[#This Row],[PMT NO]])-ROW(PaymentSchedule3[[#Headers],[PMT NO]])-2)+DAY(LoanStartDate),"")</f>
        <v>46905</v>
      </c>
      <c r="D110" s="7">
        <f>IF(PaymentSchedule3[[#This Row],[PMT NO]]&lt;&gt;"",IF(ROW()-ROW(PaymentSchedule3[[#Headers],[BEGINNING BALANCE]])=1,LoanAmount,INDEX([ENDING BALANCE],ROW()-ROW(PaymentSchedule3[[#Headers],[BEGINNING BALANCE]])-1)),"")</f>
        <v>268430.71795194765</v>
      </c>
      <c r="E110" s="7">
        <f>IF(PaymentSchedule3[[#This Row],[PMT NO]]&lt;&gt;"",ScheduledPayment,"")</f>
        <v>1491.0635231826082</v>
      </c>
      <c r="F11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10" s="7">
        <f>IF(PaymentSchedule3[[#This Row],[PMT NO]]&lt;&gt;"",PaymentSchedule3[[#This Row],[TOTAL PAYMENT]]-PaymentSchedule3[[#This Row],[INTEREST]],"")</f>
        <v>641.03291633477397</v>
      </c>
      <c r="I110" s="7">
        <f>IF(PaymentSchedule3[[#This Row],[PMT NO]]&lt;&gt;"",PaymentSchedule3[[#This Row],[BEGINNING BALANCE]]*(InterestRate/PaymentsPerYear),"")</f>
        <v>850.03060684783418</v>
      </c>
      <c r="J110" s="7">
        <f>IF(PaymentSchedule3[[#This Row],[PMT NO]]&lt;&gt;"",IF(PaymentSchedule3[[#This Row],[SCHEDULED PAYMENT]]+PaymentSchedule3[[#This Row],[EXTRA PAYMENT]]&lt;=PaymentSchedule3[[#This Row],[BEGINNING BALANCE]],PaymentSchedule3[[#This Row],[BEGINNING BALANCE]]-PaymentSchedule3[[#This Row],[PRINCIPAL]],0),"")</f>
        <v>267789.6850356129</v>
      </c>
      <c r="K110" s="7">
        <f>IF(PaymentSchedule3[[#This Row],[PMT NO]]&lt;&gt;"",SUM(INDEX([INTEREST],1,1):PaymentSchedule3[[#This Row],[INTEREST]]),"")</f>
        <v>87949.656214778079</v>
      </c>
    </row>
    <row r="111" spans="2:11">
      <c r="B111" s="4">
        <f>IF(LoanIsGood,IF(ROW()-ROW(PaymentSchedule3[[#Headers],[PMT NO]])&gt;ScheduledNumberOfPayments,"",ROW()-ROW(PaymentSchedule3[[#Headers],[PMT NO]])),"")</f>
        <v>95</v>
      </c>
      <c r="C111" s="5">
        <f>IF(PaymentSchedule3[[#This Row],[PMT NO]]&lt;&gt;"",EOMONTH(LoanStartDate,ROW(PaymentSchedule3[[#This Row],[PMT NO]])-ROW(PaymentSchedule3[[#Headers],[PMT NO]])-2)+DAY(LoanStartDate),"")</f>
        <v>46935</v>
      </c>
      <c r="D111" s="7">
        <f>IF(PaymentSchedule3[[#This Row],[PMT NO]]&lt;&gt;"",IF(ROW()-ROW(PaymentSchedule3[[#Headers],[BEGINNING BALANCE]])=1,LoanAmount,INDEX([ENDING BALANCE],ROW()-ROW(PaymentSchedule3[[#Headers],[BEGINNING BALANCE]])-1)),"")</f>
        <v>267789.6850356129</v>
      </c>
      <c r="E111" s="7">
        <f>IF(PaymentSchedule3[[#This Row],[PMT NO]]&lt;&gt;"",ScheduledPayment,"")</f>
        <v>1491.0635231826082</v>
      </c>
      <c r="F11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11" s="7">
        <f>IF(PaymentSchedule3[[#This Row],[PMT NO]]&lt;&gt;"",PaymentSchedule3[[#This Row],[TOTAL PAYMENT]]-PaymentSchedule3[[#This Row],[INTEREST]],"")</f>
        <v>643.06285390316737</v>
      </c>
      <c r="I111" s="7">
        <f>IF(PaymentSchedule3[[#This Row],[PMT NO]]&lt;&gt;"",PaymentSchedule3[[#This Row],[BEGINNING BALANCE]]*(InterestRate/PaymentsPerYear),"")</f>
        <v>848.00066927944079</v>
      </c>
      <c r="J111" s="7">
        <f>IF(PaymentSchedule3[[#This Row],[PMT NO]]&lt;&gt;"",IF(PaymentSchedule3[[#This Row],[SCHEDULED PAYMENT]]+PaymentSchedule3[[#This Row],[EXTRA PAYMENT]]&lt;=PaymentSchedule3[[#This Row],[BEGINNING BALANCE]],PaymentSchedule3[[#This Row],[BEGINNING BALANCE]]-PaymentSchedule3[[#This Row],[PRINCIPAL]],0),"")</f>
        <v>267146.62218170974</v>
      </c>
      <c r="K111" s="7">
        <f>IF(PaymentSchedule3[[#This Row],[PMT NO]]&lt;&gt;"",SUM(INDEX([INTEREST],1,1):PaymentSchedule3[[#This Row],[INTEREST]]),"")</f>
        <v>88797.65688405752</v>
      </c>
    </row>
    <row r="112" spans="2:11">
      <c r="B112" s="4">
        <f>IF(LoanIsGood,IF(ROW()-ROW(PaymentSchedule3[[#Headers],[PMT NO]])&gt;ScheduledNumberOfPayments,"",ROW()-ROW(PaymentSchedule3[[#Headers],[PMT NO]])),"")</f>
        <v>96</v>
      </c>
      <c r="C112" s="5">
        <f>IF(PaymentSchedule3[[#This Row],[PMT NO]]&lt;&gt;"",EOMONTH(LoanStartDate,ROW(PaymentSchedule3[[#This Row],[PMT NO]])-ROW(PaymentSchedule3[[#Headers],[PMT NO]])-2)+DAY(LoanStartDate),"")</f>
        <v>46966</v>
      </c>
      <c r="D112" s="7">
        <f>IF(PaymentSchedule3[[#This Row],[PMT NO]]&lt;&gt;"",IF(ROW()-ROW(PaymentSchedule3[[#Headers],[BEGINNING BALANCE]])=1,LoanAmount,INDEX([ENDING BALANCE],ROW()-ROW(PaymentSchedule3[[#Headers],[BEGINNING BALANCE]])-1)),"")</f>
        <v>267146.62218170974</v>
      </c>
      <c r="E112" s="7">
        <f>IF(PaymentSchedule3[[#This Row],[PMT NO]]&lt;&gt;"",ScheduledPayment,"")</f>
        <v>1491.0635231826082</v>
      </c>
      <c r="F11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12" s="7">
        <f>IF(PaymentSchedule3[[#This Row],[PMT NO]]&lt;&gt;"",PaymentSchedule3[[#This Row],[TOTAL PAYMENT]]-PaymentSchedule3[[#This Row],[INTEREST]],"")</f>
        <v>645.09921960719396</v>
      </c>
      <c r="I112" s="7">
        <f>IF(PaymentSchedule3[[#This Row],[PMT NO]]&lt;&gt;"",PaymentSchedule3[[#This Row],[BEGINNING BALANCE]]*(InterestRate/PaymentsPerYear),"")</f>
        <v>845.96430357541419</v>
      </c>
      <c r="J112" s="7">
        <f>IF(PaymentSchedule3[[#This Row],[PMT NO]]&lt;&gt;"",IF(PaymentSchedule3[[#This Row],[SCHEDULED PAYMENT]]+PaymentSchedule3[[#This Row],[EXTRA PAYMENT]]&lt;=PaymentSchedule3[[#This Row],[BEGINNING BALANCE]],PaymentSchedule3[[#This Row],[BEGINNING BALANCE]]-PaymentSchedule3[[#This Row],[PRINCIPAL]],0),"")</f>
        <v>266501.52296210255</v>
      </c>
      <c r="K112" s="7">
        <f>IF(PaymentSchedule3[[#This Row],[PMT NO]]&lt;&gt;"",SUM(INDEX([INTEREST],1,1):PaymentSchedule3[[#This Row],[INTEREST]]),"")</f>
        <v>89643.621187632933</v>
      </c>
    </row>
    <row r="113" spans="2:11">
      <c r="B113" s="4">
        <f>IF(LoanIsGood,IF(ROW()-ROW(PaymentSchedule3[[#Headers],[PMT NO]])&gt;ScheduledNumberOfPayments,"",ROW()-ROW(PaymentSchedule3[[#Headers],[PMT NO]])),"")</f>
        <v>97</v>
      </c>
      <c r="C113" s="5">
        <f>IF(PaymentSchedule3[[#This Row],[PMT NO]]&lt;&gt;"",EOMONTH(LoanStartDate,ROW(PaymentSchedule3[[#This Row],[PMT NO]])-ROW(PaymentSchedule3[[#Headers],[PMT NO]])-2)+DAY(LoanStartDate),"")</f>
        <v>46997</v>
      </c>
      <c r="D113" s="7">
        <f>IF(PaymentSchedule3[[#This Row],[PMT NO]]&lt;&gt;"",IF(ROW()-ROW(PaymentSchedule3[[#Headers],[BEGINNING BALANCE]])=1,LoanAmount,INDEX([ENDING BALANCE],ROW()-ROW(PaymentSchedule3[[#Headers],[BEGINNING BALANCE]])-1)),"")</f>
        <v>266501.52296210255</v>
      </c>
      <c r="E113" s="7">
        <f>IF(PaymentSchedule3[[#This Row],[PMT NO]]&lt;&gt;"",ScheduledPayment,"")</f>
        <v>1491.0635231826082</v>
      </c>
      <c r="F11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13" s="7">
        <f>IF(PaymentSchedule3[[#This Row],[PMT NO]]&lt;&gt;"",PaymentSchedule3[[#This Row],[TOTAL PAYMENT]]-PaymentSchedule3[[#This Row],[INTEREST]],"")</f>
        <v>647.14203380261677</v>
      </c>
      <c r="I113" s="7">
        <f>IF(PaymentSchedule3[[#This Row],[PMT NO]]&lt;&gt;"",PaymentSchedule3[[#This Row],[BEGINNING BALANCE]]*(InterestRate/PaymentsPerYear),"")</f>
        <v>843.92148937999139</v>
      </c>
      <c r="J113" s="7">
        <f>IF(PaymentSchedule3[[#This Row],[PMT NO]]&lt;&gt;"",IF(PaymentSchedule3[[#This Row],[SCHEDULED PAYMENT]]+PaymentSchedule3[[#This Row],[EXTRA PAYMENT]]&lt;=PaymentSchedule3[[#This Row],[BEGINNING BALANCE]],PaymentSchedule3[[#This Row],[BEGINNING BALANCE]]-PaymentSchedule3[[#This Row],[PRINCIPAL]],0),"")</f>
        <v>265854.38092829991</v>
      </c>
      <c r="K113" s="7">
        <f>IF(PaymentSchedule3[[#This Row],[PMT NO]]&lt;&gt;"",SUM(INDEX([INTEREST],1,1):PaymentSchedule3[[#This Row],[INTEREST]]),"")</f>
        <v>90487.542677012927</v>
      </c>
    </row>
    <row r="114" spans="2:11">
      <c r="B114" s="4">
        <f>IF(LoanIsGood,IF(ROW()-ROW(PaymentSchedule3[[#Headers],[PMT NO]])&gt;ScheduledNumberOfPayments,"",ROW()-ROW(PaymentSchedule3[[#Headers],[PMT NO]])),"")</f>
        <v>98</v>
      </c>
      <c r="C114" s="5">
        <f>IF(PaymentSchedule3[[#This Row],[PMT NO]]&lt;&gt;"",EOMONTH(LoanStartDate,ROW(PaymentSchedule3[[#This Row],[PMT NO]])-ROW(PaymentSchedule3[[#Headers],[PMT NO]])-2)+DAY(LoanStartDate),"")</f>
        <v>47027</v>
      </c>
      <c r="D114" s="7">
        <f>IF(PaymentSchedule3[[#This Row],[PMT NO]]&lt;&gt;"",IF(ROW()-ROW(PaymentSchedule3[[#Headers],[BEGINNING BALANCE]])=1,LoanAmount,INDEX([ENDING BALANCE],ROW()-ROW(PaymentSchedule3[[#Headers],[BEGINNING BALANCE]])-1)),"")</f>
        <v>265854.38092829991</v>
      </c>
      <c r="E114" s="7">
        <f>IF(PaymentSchedule3[[#This Row],[PMT NO]]&lt;&gt;"",ScheduledPayment,"")</f>
        <v>1491.0635231826082</v>
      </c>
      <c r="F11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14" s="7">
        <f>IF(PaymentSchedule3[[#This Row],[PMT NO]]&lt;&gt;"",PaymentSchedule3[[#This Row],[TOTAL PAYMENT]]-PaymentSchedule3[[#This Row],[INTEREST]],"")</f>
        <v>649.19131690965844</v>
      </c>
      <c r="I114" s="7">
        <f>IF(PaymentSchedule3[[#This Row],[PMT NO]]&lt;&gt;"",PaymentSchedule3[[#This Row],[BEGINNING BALANCE]]*(InterestRate/PaymentsPerYear),"")</f>
        <v>841.87220627294971</v>
      </c>
      <c r="J114" s="7">
        <f>IF(PaymentSchedule3[[#This Row],[PMT NO]]&lt;&gt;"",IF(PaymentSchedule3[[#This Row],[SCHEDULED PAYMENT]]+PaymentSchedule3[[#This Row],[EXTRA PAYMENT]]&lt;=PaymentSchedule3[[#This Row],[BEGINNING BALANCE]],PaymentSchedule3[[#This Row],[BEGINNING BALANCE]]-PaymentSchedule3[[#This Row],[PRINCIPAL]],0),"")</f>
        <v>265205.18961139023</v>
      </c>
      <c r="K114" s="7">
        <f>IF(PaymentSchedule3[[#This Row],[PMT NO]]&lt;&gt;"",SUM(INDEX([INTEREST],1,1):PaymentSchedule3[[#This Row],[INTEREST]]),"")</f>
        <v>91329.414883285877</v>
      </c>
    </row>
    <row r="115" spans="2:11">
      <c r="B115" s="4">
        <f>IF(LoanIsGood,IF(ROW()-ROW(PaymentSchedule3[[#Headers],[PMT NO]])&gt;ScheduledNumberOfPayments,"",ROW()-ROW(PaymentSchedule3[[#Headers],[PMT NO]])),"")</f>
        <v>99</v>
      </c>
      <c r="C115" s="5">
        <f>IF(PaymentSchedule3[[#This Row],[PMT NO]]&lt;&gt;"",EOMONTH(LoanStartDate,ROW(PaymentSchedule3[[#This Row],[PMT NO]])-ROW(PaymentSchedule3[[#Headers],[PMT NO]])-2)+DAY(LoanStartDate),"")</f>
        <v>47058</v>
      </c>
      <c r="D115" s="7">
        <f>IF(PaymentSchedule3[[#This Row],[PMT NO]]&lt;&gt;"",IF(ROW()-ROW(PaymentSchedule3[[#Headers],[BEGINNING BALANCE]])=1,LoanAmount,INDEX([ENDING BALANCE],ROW()-ROW(PaymentSchedule3[[#Headers],[BEGINNING BALANCE]])-1)),"")</f>
        <v>265205.18961139023</v>
      </c>
      <c r="E115" s="7">
        <f>IF(PaymentSchedule3[[#This Row],[PMT NO]]&lt;&gt;"",ScheduledPayment,"")</f>
        <v>1491.0635231826082</v>
      </c>
      <c r="F11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15" s="7">
        <f>IF(PaymentSchedule3[[#This Row],[PMT NO]]&lt;&gt;"",PaymentSchedule3[[#This Row],[TOTAL PAYMENT]]-PaymentSchedule3[[#This Row],[INTEREST]],"")</f>
        <v>651.2470894132058</v>
      </c>
      <c r="I115" s="7">
        <f>IF(PaymentSchedule3[[#This Row],[PMT NO]]&lt;&gt;"",PaymentSchedule3[[#This Row],[BEGINNING BALANCE]]*(InterestRate/PaymentsPerYear),"")</f>
        <v>839.81643376940235</v>
      </c>
      <c r="J115" s="7">
        <f>IF(PaymentSchedule3[[#This Row],[PMT NO]]&lt;&gt;"",IF(PaymentSchedule3[[#This Row],[SCHEDULED PAYMENT]]+PaymentSchedule3[[#This Row],[EXTRA PAYMENT]]&lt;=PaymentSchedule3[[#This Row],[BEGINNING BALANCE]],PaymentSchedule3[[#This Row],[BEGINNING BALANCE]]-PaymentSchedule3[[#This Row],[PRINCIPAL]],0),"")</f>
        <v>264553.94252197701</v>
      </c>
      <c r="K115" s="7">
        <f>IF(PaymentSchedule3[[#This Row],[PMT NO]]&lt;&gt;"",SUM(INDEX([INTEREST],1,1):PaymentSchedule3[[#This Row],[INTEREST]]),"")</f>
        <v>92169.231317055281</v>
      </c>
    </row>
    <row r="116" spans="2:11">
      <c r="B116" s="4">
        <f>IF(LoanIsGood,IF(ROW()-ROW(PaymentSchedule3[[#Headers],[PMT NO]])&gt;ScheduledNumberOfPayments,"",ROW()-ROW(PaymentSchedule3[[#Headers],[PMT NO]])),"")</f>
        <v>100</v>
      </c>
      <c r="C116" s="5">
        <f>IF(PaymentSchedule3[[#This Row],[PMT NO]]&lt;&gt;"",EOMONTH(LoanStartDate,ROW(PaymentSchedule3[[#This Row],[PMT NO]])-ROW(PaymentSchedule3[[#Headers],[PMT NO]])-2)+DAY(LoanStartDate),"")</f>
        <v>47088</v>
      </c>
      <c r="D116" s="7">
        <f>IF(PaymentSchedule3[[#This Row],[PMT NO]]&lt;&gt;"",IF(ROW()-ROW(PaymentSchedule3[[#Headers],[BEGINNING BALANCE]])=1,LoanAmount,INDEX([ENDING BALANCE],ROW()-ROW(PaymentSchedule3[[#Headers],[BEGINNING BALANCE]])-1)),"")</f>
        <v>264553.94252197701</v>
      </c>
      <c r="E116" s="7">
        <f>IF(PaymentSchedule3[[#This Row],[PMT NO]]&lt;&gt;"",ScheduledPayment,"")</f>
        <v>1491.0635231826082</v>
      </c>
      <c r="F11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16" s="7">
        <f>IF(PaymentSchedule3[[#This Row],[PMT NO]]&lt;&gt;"",PaymentSchedule3[[#This Row],[TOTAL PAYMENT]]-PaymentSchedule3[[#This Row],[INTEREST]],"")</f>
        <v>653.30937186301435</v>
      </c>
      <c r="I116" s="7">
        <f>IF(PaymentSchedule3[[#This Row],[PMT NO]]&lt;&gt;"",PaymentSchedule3[[#This Row],[BEGINNING BALANCE]]*(InterestRate/PaymentsPerYear),"")</f>
        <v>837.7541513195938</v>
      </c>
      <c r="J116" s="7">
        <f>IF(PaymentSchedule3[[#This Row],[PMT NO]]&lt;&gt;"",IF(PaymentSchedule3[[#This Row],[SCHEDULED PAYMENT]]+PaymentSchedule3[[#This Row],[EXTRA PAYMENT]]&lt;=PaymentSchedule3[[#This Row],[BEGINNING BALANCE]],PaymentSchedule3[[#This Row],[BEGINNING BALANCE]]-PaymentSchedule3[[#This Row],[PRINCIPAL]],0),"")</f>
        <v>263900.63315011398</v>
      </c>
      <c r="K116" s="7">
        <f>IF(PaymentSchedule3[[#This Row],[PMT NO]]&lt;&gt;"",SUM(INDEX([INTEREST],1,1):PaymentSchedule3[[#This Row],[INTEREST]]),"")</f>
        <v>93006.985468374871</v>
      </c>
    </row>
    <row r="117" spans="2:11">
      <c r="B117" s="4">
        <f>IF(LoanIsGood,IF(ROW()-ROW(PaymentSchedule3[[#Headers],[PMT NO]])&gt;ScheduledNumberOfPayments,"",ROW()-ROW(PaymentSchedule3[[#Headers],[PMT NO]])),"")</f>
        <v>101</v>
      </c>
      <c r="C117" s="5">
        <f>IF(PaymentSchedule3[[#This Row],[PMT NO]]&lt;&gt;"",EOMONTH(LoanStartDate,ROW(PaymentSchedule3[[#This Row],[PMT NO]])-ROW(PaymentSchedule3[[#Headers],[PMT NO]])-2)+DAY(LoanStartDate),"")</f>
        <v>47119</v>
      </c>
      <c r="D117" s="7">
        <f>IF(PaymentSchedule3[[#This Row],[PMT NO]]&lt;&gt;"",IF(ROW()-ROW(PaymentSchedule3[[#Headers],[BEGINNING BALANCE]])=1,LoanAmount,INDEX([ENDING BALANCE],ROW()-ROW(PaymentSchedule3[[#Headers],[BEGINNING BALANCE]])-1)),"")</f>
        <v>263900.63315011398</v>
      </c>
      <c r="E117" s="7">
        <f>IF(PaymentSchedule3[[#This Row],[PMT NO]]&lt;&gt;"",ScheduledPayment,"")</f>
        <v>1491.0635231826082</v>
      </c>
      <c r="F11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17" s="7">
        <f>IF(PaymentSchedule3[[#This Row],[PMT NO]]&lt;&gt;"",PaymentSchedule3[[#This Row],[TOTAL PAYMENT]]-PaymentSchedule3[[#This Row],[INTEREST]],"")</f>
        <v>655.37818487391394</v>
      </c>
      <c r="I117" s="7">
        <f>IF(PaymentSchedule3[[#This Row],[PMT NO]]&lt;&gt;"",PaymentSchedule3[[#This Row],[BEGINNING BALANCE]]*(InterestRate/PaymentsPerYear),"")</f>
        <v>835.68533830869421</v>
      </c>
      <c r="J117" s="7">
        <f>IF(PaymentSchedule3[[#This Row],[PMT NO]]&lt;&gt;"",IF(PaymentSchedule3[[#This Row],[SCHEDULED PAYMENT]]+PaymentSchedule3[[#This Row],[EXTRA PAYMENT]]&lt;=PaymentSchedule3[[#This Row],[BEGINNING BALANCE]],PaymentSchedule3[[#This Row],[BEGINNING BALANCE]]-PaymentSchedule3[[#This Row],[PRINCIPAL]],0),"")</f>
        <v>263245.25496524008</v>
      </c>
      <c r="K117" s="7">
        <f>IF(PaymentSchedule3[[#This Row],[PMT NO]]&lt;&gt;"",SUM(INDEX([INTEREST],1,1):PaymentSchedule3[[#This Row],[INTEREST]]),"")</f>
        <v>93842.670806683571</v>
      </c>
    </row>
    <row r="118" spans="2:11">
      <c r="B118" s="4">
        <f>IF(LoanIsGood,IF(ROW()-ROW(PaymentSchedule3[[#Headers],[PMT NO]])&gt;ScheduledNumberOfPayments,"",ROW()-ROW(PaymentSchedule3[[#Headers],[PMT NO]])),"")</f>
        <v>102</v>
      </c>
      <c r="C118" s="5">
        <f>IF(PaymentSchedule3[[#This Row],[PMT NO]]&lt;&gt;"",EOMONTH(LoanStartDate,ROW(PaymentSchedule3[[#This Row],[PMT NO]])-ROW(PaymentSchedule3[[#Headers],[PMT NO]])-2)+DAY(LoanStartDate),"")</f>
        <v>47150</v>
      </c>
      <c r="D118" s="7">
        <f>IF(PaymentSchedule3[[#This Row],[PMT NO]]&lt;&gt;"",IF(ROW()-ROW(PaymentSchedule3[[#Headers],[BEGINNING BALANCE]])=1,LoanAmount,INDEX([ENDING BALANCE],ROW()-ROW(PaymentSchedule3[[#Headers],[BEGINNING BALANCE]])-1)),"")</f>
        <v>263245.25496524008</v>
      </c>
      <c r="E118" s="7">
        <f>IF(PaymentSchedule3[[#This Row],[PMT NO]]&lt;&gt;"",ScheduledPayment,"")</f>
        <v>1491.0635231826082</v>
      </c>
      <c r="F11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18" s="7">
        <f>IF(PaymentSchedule3[[#This Row],[PMT NO]]&lt;&gt;"",PaymentSchedule3[[#This Row],[TOTAL PAYMENT]]-PaymentSchedule3[[#This Row],[INTEREST]],"")</f>
        <v>657.45354912601454</v>
      </c>
      <c r="I118" s="7">
        <f>IF(PaymentSchedule3[[#This Row],[PMT NO]]&lt;&gt;"",PaymentSchedule3[[#This Row],[BEGINNING BALANCE]]*(InterestRate/PaymentsPerYear),"")</f>
        <v>833.60997405659361</v>
      </c>
      <c r="J118" s="7">
        <f>IF(PaymentSchedule3[[#This Row],[PMT NO]]&lt;&gt;"",IF(PaymentSchedule3[[#This Row],[SCHEDULED PAYMENT]]+PaymentSchedule3[[#This Row],[EXTRA PAYMENT]]&lt;=PaymentSchedule3[[#This Row],[BEGINNING BALANCE]],PaymentSchedule3[[#This Row],[BEGINNING BALANCE]]-PaymentSchedule3[[#This Row],[PRINCIPAL]],0),"")</f>
        <v>262587.80141611409</v>
      </c>
      <c r="K118" s="7">
        <f>IF(PaymentSchedule3[[#This Row],[PMT NO]]&lt;&gt;"",SUM(INDEX([INTEREST],1,1):PaymentSchedule3[[#This Row],[INTEREST]]),"")</f>
        <v>94676.28078074017</v>
      </c>
    </row>
    <row r="119" spans="2:11">
      <c r="B119" s="4">
        <f>IF(LoanIsGood,IF(ROW()-ROW(PaymentSchedule3[[#Headers],[PMT NO]])&gt;ScheduledNumberOfPayments,"",ROW()-ROW(PaymentSchedule3[[#Headers],[PMT NO]])),"")</f>
        <v>103</v>
      </c>
      <c r="C119" s="5">
        <f>IF(PaymentSchedule3[[#This Row],[PMT NO]]&lt;&gt;"",EOMONTH(LoanStartDate,ROW(PaymentSchedule3[[#This Row],[PMT NO]])-ROW(PaymentSchedule3[[#Headers],[PMT NO]])-2)+DAY(LoanStartDate),"")</f>
        <v>47178</v>
      </c>
      <c r="D119" s="7">
        <f>IF(PaymentSchedule3[[#This Row],[PMT NO]]&lt;&gt;"",IF(ROW()-ROW(PaymentSchedule3[[#Headers],[BEGINNING BALANCE]])=1,LoanAmount,INDEX([ENDING BALANCE],ROW()-ROW(PaymentSchedule3[[#Headers],[BEGINNING BALANCE]])-1)),"")</f>
        <v>262587.80141611409</v>
      </c>
      <c r="E119" s="7">
        <f>IF(PaymentSchedule3[[#This Row],[PMT NO]]&lt;&gt;"",ScheduledPayment,"")</f>
        <v>1491.0635231826082</v>
      </c>
      <c r="F11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19" s="7">
        <f>IF(PaymentSchedule3[[#This Row],[PMT NO]]&lt;&gt;"",PaymentSchedule3[[#This Row],[TOTAL PAYMENT]]-PaymentSchedule3[[#This Row],[INTEREST]],"")</f>
        <v>659.5354853649136</v>
      </c>
      <c r="I119" s="7">
        <f>IF(PaymentSchedule3[[#This Row],[PMT NO]]&lt;&gt;"",PaymentSchedule3[[#This Row],[BEGINNING BALANCE]]*(InterestRate/PaymentsPerYear),"")</f>
        <v>831.52803781769455</v>
      </c>
      <c r="J119" s="7">
        <f>IF(PaymentSchedule3[[#This Row],[PMT NO]]&lt;&gt;"",IF(PaymentSchedule3[[#This Row],[SCHEDULED PAYMENT]]+PaymentSchedule3[[#This Row],[EXTRA PAYMENT]]&lt;=PaymentSchedule3[[#This Row],[BEGINNING BALANCE]],PaymentSchedule3[[#This Row],[BEGINNING BALANCE]]-PaymentSchedule3[[#This Row],[PRINCIPAL]],0),"")</f>
        <v>261928.26593074918</v>
      </c>
      <c r="K119" s="7">
        <f>IF(PaymentSchedule3[[#This Row],[PMT NO]]&lt;&gt;"",SUM(INDEX([INTEREST],1,1):PaymentSchedule3[[#This Row],[INTEREST]]),"")</f>
        <v>95507.808818557867</v>
      </c>
    </row>
    <row r="120" spans="2:11">
      <c r="B120" s="4">
        <f>IF(LoanIsGood,IF(ROW()-ROW(PaymentSchedule3[[#Headers],[PMT NO]])&gt;ScheduledNumberOfPayments,"",ROW()-ROW(PaymentSchedule3[[#Headers],[PMT NO]])),"")</f>
        <v>104</v>
      </c>
      <c r="C120" s="5">
        <f>IF(PaymentSchedule3[[#This Row],[PMT NO]]&lt;&gt;"",EOMONTH(LoanStartDate,ROW(PaymentSchedule3[[#This Row],[PMT NO]])-ROW(PaymentSchedule3[[#Headers],[PMT NO]])-2)+DAY(LoanStartDate),"")</f>
        <v>47209</v>
      </c>
      <c r="D120" s="7">
        <f>IF(PaymentSchedule3[[#This Row],[PMT NO]]&lt;&gt;"",IF(ROW()-ROW(PaymentSchedule3[[#Headers],[BEGINNING BALANCE]])=1,LoanAmount,INDEX([ENDING BALANCE],ROW()-ROW(PaymentSchedule3[[#Headers],[BEGINNING BALANCE]])-1)),"")</f>
        <v>261928.26593074918</v>
      </c>
      <c r="E120" s="7">
        <f>IF(PaymentSchedule3[[#This Row],[PMT NO]]&lt;&gt;"",ScheduledPayment,"")</f>
        <v>1491.0635231826082</v>
      </c>
      <c r="F12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20" s="7">
        <f>IF(PaymentSchedule3[[#This Row],[PMT NO]]&lt;&gt;"",PaymentSchedule3[[#This Row],[TOTAL PAYMENT]]-PaymentSchedule3[[#This Row],[INTEREST]],"")</f>
        <v>661.6240144019024</v>
      </c>
      <c r="I120" s="7">
        <f>IF(PaymentSchedule3[[#This Row],[PMT NO]]&lt;&gt;"",PaymentSchedule3[[#This Row],[BEGINNING BALANCE]]*(InterestRate/PaymentsPerYear),"")</f>
        <v>829.43950878070575</v>
      </c>
      <c r="J120" s="7">
        <f>IF(PaymentSchedule3[[#This Row],[PMT NO]]&lt;&gt;"",IF(PaymentSchedule3[[#This Row],[SCHEDULED PAYMENT]]+PaymentSchedule3[[#This Row],[EXTRA PAYMENT]]&lt;=PaymentSchedule3[[#This Row],[BEGINNING BALANCE]],PaymentSchedule3[[#This Row],[BEGINNING BALANCE]]-PaymentSchedule3[[#This Row],[PRINCIPAL]],0),"")</f>
        <v>261266.64191634729</v>
      </c>
      <c r="K120" s="7">
        <f>IF(PaymentSchedule3[[#This Row],[PMT NO]]&lt;&gt;"",SUM(INDEX([INTEREST],1,1):PaymentSchedule3[[#This Row],[INTEREST]]),"")</f>
        <v>96337.248327338573</v>
      </c>
    </row>
    <row r="121" spans="2:11">
      <c r="B121" s="4">
        <f>IF(LoanIsGood,IF(ROW()-ROW(PaymentSchedule3[[#Headers],[PMT NO]])&gt;ScheduledNumberOfPayments,"",ROW()-ROW(PaymentSchedule3[[#Headers],[PMT NO]])),"")</f>
        <v>105</v>
      </c>
      <c r="C121" s="5">
        <f>IF(PaymentSchedule3[[#This Row],[PMT NO]]&lt;&gt;"",EOMONTH(LoanStartDate,ROW(PaymentSchedule3[[#This Row],[PMT NO]])-ROW(PaymentSchedule3[[#Headers],[PMT NO]])-2)+DAY(LoanStartDate),"")</f>
        <v>47239</v>
      </c>
      <c r="D121" s="7">
        <f>IF(PaymentSchedule3[[#This Row],[PMT NO]]&lt;&gt;"",IF(ROW()-ROW(PaymentSchedule3[[#Headers],[BEGINNING BALANCE]])=1,LoanAmount,INDEX([ENDING BALANCE],ROW()-ROW(PaymentSchedule3[[#Headers],[BEGINNING BALANCE]])-1)),"")</f>
        <v>261266.64191634729</v>
      </c>
      <c r="E121" s="7">
        <f>IF(PaymentSchedule3[[#This Row],[PMT NO]]&lt;&gt;"",ScheduledPayment,"")</f>
        <v>1491.0635231826082</v>
      </c>
      <c r="F12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21" s="7">
        <f>IF(PaymentSchedule3[[#This Row],[PMT NO]]&lt;&gt;"",PaymentSchedule3[[#This Row],[TOTAL PAYMENT]]-PaymentSchedule3[[#This Row],[INTEREST]],"")</f>
        <v>663.71915711417512</v>
      </c>
      <c r="I121" s="7">
        <f>IF(PaymentSchedule3[[#This Row],[PMT NO]]&lt;&gt;"",PaymentSchedule3[[#This Row],[BEGINNING BALANCE]]*(InterestRate/PaymentsPerYear),"")</f>
        <v>827.34436606843303</v>
      </c>
      <c r="J121" s="7">
        <f>IF(PaymentSchedule3[[#This Row],[PMT NO]]&lt;&gt;"",IF(PaymentSchedule3[[#This Row],[SCHEDULED PAYMENT]]+PaymentSchedule3[[#This Row],[EXTRA PAYMENT]]&lt;=PaymentSchedule3[[#This Row],[BEGINNING BALANCE]],PaymentSchedule3[[#This Row],[BEGINNING BALANCE]]-PaymentSchedule3[[#This Row],[PRINCIPAL]],0),"")</f>
        <v>260602.9227592331</v>
      </c>
      <c r="K121" s="7">
        <f>IF(PaymentSchedule3[[#This Row],[PMT NO]]&lt;&gt;"",SUM(INDEX([INTEREST],1,1):PaymentSchedule3[[#This Row],[INTEREST]]),"")</f>
        <v>97164.592693407001</v>
      </c>
    </row>
    <row r="122" spans="2:11">
      <c r="B122" s="4">
        <f>IF(LoanIsGood,IF(ROW()-ROW(PaymentSchedule3[[#Headers],[PMT NO]])&gt;ScheduledNumberOfPayments,"",ROW()-ROW(PaymentSchedule3[[#Headers],[PMT NO]])),"")</f>
        <v>106</v>
      </c>
      <c r="C122" s="5">
        <f>IF(PaymentSchedule3[[#This Row],[PMT NO]]&lt;&gt;"",EOMONTH(LoanStartDate,ROW(PaymentSchedule3[[#This Row],[PMT NO]])-ROW(PaymentSchedule3[[#Headers],[PMT NO]])-2)+DAY(LoanStartDate),"")</f>
        <v>47270</v>
      </c>
      <c r="D122" s="7">
        <f>IF(PaymentSchedule3[[#This Row],[PMT NO]]&lt;&gt;"",IF(ROW()-ROW(PaymentSchedule3[[#Headers],[BEGINNING BALANCE]])=1,LoanAmount,INDEX([ENDING BALANCE],ROW()-ROW(PaymentSchedule3[[#Headers],[BEGINNING BALANCE]])-1)),"")</f>
        <v>260602.9227592331</v>
      </c>
      <c r="E122" s="7">
        <f>IF(PaymentSchedule3[[#This Row],[PMT NO]]&lt;&gt;"",ScheduledPayment,"")</f>
        <v>1491.0635231826082</v>
      </c>
      <c r="F12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22" s="7">
        <f>IF(PaymentSchedule3[[#This Row],[PMT NO]]&lt;&gt;"",PaymentSchedule3[[#This Row],[TOTAL PAYMENT]]-PaymentSchedule3[[#This Row],[INTEREST]],"")</f>
        <v>665.82093444503664</v>
      </c>
      <c r="I122" s="7">
        <f>IF(PaymentSchedule3[[#This Row],[PMT NO]]&lt;&gt;"",PaymentSchedule3[[#This Row],[BEGINNING BALANCE]]*(InterestRate/PaymentsPerYear),"")</f>
        <v>825.24258873757151</v>
      </c>
      <c r="J122" s="7">
        <f>IF(PaymentSchedule3[[#This Row],[PMT NO]]&lt;&gt;"",IF(PaymentSchedule3[[#This Row],[SCHEDULED PAYMENT]]+PaymentSchedule3[[#This Row],[EXTRA PAYMENT]]&lt;=PaymentSchedule3[[#This Row],[BEGINNING BALANCE]],PaymentSchedule3[[#This Row],[BEGINNING BALANCE]]-PaymentSchedule3[[#This Row],[PRINCIPAL]],0),"")</f>
        <v>259937.10182478806</v>
      </c>
      <c r="K122" s="7">
        <f>IF(PaymentSchedule3[[#This Row],[PMT NO]]&lt;&gt;"",SUM(INDEX([INTEREST],1,1):PaymentSchedule3[[#This Row],[INTEREST]]),"")</f>
        <v>97989.835282144573</v>
      </c>
    </row>
    <row r="123" spans="2:11">
      <c r="B123" s="4">
        <f>IF(LoanIsGood,IF(ROW()-ROW(PaymentSchedule3[[#Headers],[PMT NO]])&gt;ScheduledNumberOfPayments,"",ROW()-ROW(PaymentSchedule3[[#Headers],[PMT NO]])),"")</f>
        <v>107</v>
      </c>
      <c r="C123" s="5">
        <f>IF(PaymentSchedule3[[#This Row],[PMT NO]]&lt;&gt;"",EOMONTH(LoanStartDate,ROW(PaymentSchedule3[[#This Row],[PMT NO]])-ROW(PaymentSchedule3[[#Headers],[PMT NO]])-2)+DAY(LoanStartDate),"")</f>
        <v>47300</v>
      </c>
      <c r="D123" s="7">
        <f>IF(PaymentSchedule3[[#This Row],[PMT NO]]&lt;&gt;"",IF(ROW()-ROW(PaymentSchedule3[[#Headers],[BEGINNING BALANCE]])=1,LoanAmount,INDEX([ENDING BALANCE],ROW()-ROW(PaymentSchedule3[[#Headers],[BEGINNING BALANCE]])-1)),"")</f>
        <v>259937.10182478806</v>
      </c>
      <c r="E123" s="7">
        <f>IF(PaymentSchedule3[[#This Row],[PMT NO]]&lt;&gt;"",ScheduledPayment,"")</f>
        <v>1491.0635231826082</v>
      </c>
      <c r="F12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23" s="7">
        <f>IF(PaymentSchedule3[[#This Row],[PMT NO]]&lt;&gt;"",PaymentSchedule3[[#This Row],[TOTAL PAYMENT]]-PaymentSchedule3[[#This Row],[INTEREST]],"")</f>
        <v>667.92936740411267</v>
      </c>
      <c r="I123" s="7">
        <f>IF(PaymentSchedule3[[#This Row],[PMT NO]]&lt;&gt;"",PaymentSchedule3[[#This Row],[BEGINNING BALANCE]]*(InterestRate/PaymentsPerYear),"")</f>
        <v>823.13415577849548</v>
      </c>
      <c r="J123" s="7">
        <f>IF(PaymentSchedule3[[#This Row],[PMT NO]]&lt;&gt;"",IF(PaymentSchedule3[[#This Row],[SCHEDULED PAYMENT]]+PaymentSchedule3[[#This Row],[EXTRA PAYMENT]]&lt;=PaymentSchedule3[[#This Row],[BEGINNING BALANCE]],PaymentSchedule3[[#This Row],[BEGINNING BALANCE]]-PaymentSchedule3[[#This Row],[PRINCIPAL]],0),"")</f>
        <v>259269.17245738395</v>
      </c>
      <c r="K123" s="7">
        <f>IF(PaymentSchedule3[[#This Row],[PMT NO]]&lt;&gt;"",SUM(INDEX([INTEREST],1,1):PaymentSchedule3[[#This Row],[INTEREST]]),"")</f>
        <v>98812.969437923064</v>
      </c>
    </row>
    <row r="124" spans="2:11">
      <c r="B124" s="4">
        <f>IF(LoanIsGood,IF(ROW()-ROW(PaymentSchedule3[[#Headers],[PMT NO]])&gt;ScheduledNumberOfPayments,"",ROW()-ROW(PaymentSchedule3[[#Headers],[PMT NO]])),"")</f>
        <v>108</v>
      </c>
      <c r="C124" s="5">
        <f>IF(PaymentSchedule3[[#This Row],[PMT NO]]&lt;&gt;"",EOMONTH(LoanStartDate,ROW(PaymentSchedule3[[#This Row],[PMT NO]])-ROW(PaymentSchedule3[[#Headers],[PMT NO]])-2)+DAY(LoanStartDate),"")</f>
        <v>47331</v>
      </c>
      <c r="D124" s="7">
        <f>IF(PaymentSchedule3[[#This Row],[PMT NO]]&lt;&gt;"",IF(ROW()-ROW(PaymentSchedule3[[#Headers],[BEGINNING BALANCE]])=1,LoanAmount,INDEX([ENDING BALANCE],ROW()-ROW(PaymentSchedule3[[#Headers],[BEGINNING BALANCE]])-1)),"")</f>
        <v>259269.17245738395</v>
      </c>
      <c r="E124" s="7">
        <f>IF(PaymentSchedule3[[#This Row],[PMT NO]]&lt;&gt;"",ScheduledPayment,"")</f>
        <v>1491.0635231826082</v>
      </c>
      <c r="F12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24" s="7">
        <f>IF(PaymentSchedule3[[#This Row],[PMT NO]]&lt;&gt;"",PaymentSchedule3[[#This Row],[TOTAL PAYMENT]]-PaymentSchedule3[[#This Row],[INTEREST]],"")</f>
        <v>670.044477067559</v>
      </c>
      <c r="I124" s="7">
        <f>IF(PaymentSchedule3[[#This Row],[PMT NO]]&lt;&gt;"",PaymentSchedule3[[#This Row],[BEGINNING BALANCE]]*(InterestRate/PaymentsPerYear),"")</f>
        <v>821.01904611504915</v>
      </c>
      <c r="J124" s="7">
        <f>IF(PaymentSchedule3[[#This Row],[PMT NO]]&lt;&gt;"",IF(PaymentSchedule3[[#This Row],[SCHEDULED PAYMENT]]+PaymentSchedule3[[#This Row],[EXTRA PAYMENT]]&lt;=PaymentSchedule3[[#This Row],[BEGINNING BALANCE]],PaymentSchedule3[[#This Row],[BEGINNING BALANCE]]-PaymentSchedule3[[#This Row],[PRINCIPAL]],0),"")</f>
        <v>258599.12798031638</v>
      </c>
      <c r="K124" s="7">
        <f>IF(PaymentSchedule3[[#This Row],[PMT NO]]&lt;&gt;"",SUM(INDEX([INTEREST],1,1):PaymentSchedule3[[#This Row],[INTEREST]]),"")</f>
        <v>99633.988484038113</v>
      </c>
    </row>
    <row r="125" spans="2:11">
      <c r="B125" s="4">
        <f>IF(LoanIsGood,IF(ROW()-ROW(PaymentSchedule3[[#Headers],[PMT NO]])&gt;ScheduledNumberOfPayments,"",ROW()-ROW(PaymentSchedule3[[#Headers],[PMT NO]])),"")</f>
        <v>109</v>
      </c>
      <c r="C125" s="5">
        <f>IF(PaymentSchedule3[[#This Row],[PMT NO]]&lt;&gt;"",EOMONTH(LoanStartDate,ROW(PaymentSchedule3[[#This Row],[PMT NO]])-ROW(PaymentSchedule3[[#Headers],[PMT NO]])-2)+DAY(LoanStartDate),"")</f>
        <v>47362</v>
      </c>
      <c r="D125" s="7">
        <f>IF(PaymentSchedule3[[#This Row],[PMT NO]]&lt;&gt;"",IF(ROW()-ROW(PaymentSchedule3[[#Headers],[BEGINNING BALANCE]])=1,LoanAmount,INDEX([ENDING BALANCE],ROW()-ROW(PaymentSchedule3[[#Headers],[BEGINNING BALANCE]])-1)),"")</f>
        <v>258599.12798031638</v>
      </c>
      <c r="E125" s="7">
        <f>IF(PaymentSchedule3[[#This Row],[PMT NO]]&lt;&gt;"",ScheduledPayment,"")</f>
        <v>1491.0635231826082</v>
      </c>
      <c r="F12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25" s="7">
        <f>IF(PaymentSchedule3[[#This Row],[PMT NO]]&lt;&gt;"",PaymentSchedule3[[#This Row],[TOTAL PAYMENT]]-PaymentSchedule3[[#This Row],[INTEREST]],"")</f>
        <v>672.16628457827301</v>
      </c>
      <c r="I125" s="7">
        <f>IF(PaymentSchedule3[[#This Row],[PMT NO]]&lt;&gt;"",PaymentSchedule3[[#This Row],[BEGINNING BALANCE]]*(InterestRate/PaymentsPerYear),"")</f>
        <v>818.89723860433514</v>
      </c>
      <c r="J125" s="7">
        <f>IF(PaymentSchedule3[[#This Row],[PMT NO]]&lt;&gt;"",IF(PaymentSchedule3[[#This Row],[SCHEDULED PAYMENT]]+PaymentSchedule3[[#This Row],[EXTRA PAYMENT]]&lt;=PaymentSchedule3[[#This Row],[BEGINNING BALANCE]],PaymentSchedule3[[#This Row],[BEGINNING BALANCE]]-PaymentSchedule3[[#This Row],[PRINCIPAL]],0),"")</f>
        <v>257926.96169573811</v>
      </c>
      <c r="K125" s="7">
        <f>IF(PaymentSchedule3[[#This Row],[PMT NO]]&lt;&gt;"",SUM(INDEX([INTEREST],1,1):PaymentSchedule3[[#This Row],[INTEREST]]),"")</f>
        <v>100452.88572264244</v>
      </c>
    </row>
    <row r="126" spans="2:11">
      <c r="B126" s="4">
        <f>IF(LoanIsGood,IF(ROW()-ROW(PaymentSchedule3[[#Headers],[PMT NO]])&gt;ScheduledNumberOfPayments,"",ROW()-ROW(PaymentSchedule3[[#Headers],[PMT NO]])),"")</f>
        <v>110</v>
      </c>
      <c r="C126" s="5">
        <f>IF(PaymentSchedule3[[#This Row],[PMT NO]]&lt;&gt;"",EOMONTH(LoanStartDate,ROW(PaymentSchedule3[[#This Row],[PMT NO]])-ROW(PaymentSchedule3[[#Headers],[PMT NO]])-2)+DAY(LoanStartDate),"")</f>
        <v>47392</v>
      </c>
      <c r="D126" s="7">
        <f>IF(PaymentSchedule3[[#This Row],[PMT NO]]&lt;&gt;"",IF(ROW()-ROW(PaymentSchedule3[[#Headers],[BEGINNING BALANCE]])=1,LoanAmount,INDEX([ENDING BALANCE],ROW()-ROW(PaymentSchedule3[[#Headers],[BEGINNING BALANCE]])-1)),"")</f>
        <v>257926.96169573811</v>
      </c>
      <c r="E126" s="7">
        <f>IF(PaymentSchedule3[[#This Row],[PMT NO]]&lt;&gt;"",ScheduledPayment,"")</f>
        <v>1491.0635231826082</v>
      </c>
      <c r="F12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26" s="7">
        <f>IF(PaymentSchedule3[[#This Row],[PMT NO]]&lt;&gt;"",PaymentSchedule3[[#This Row],[TOTAL PAYMENT]]-PaymentSchedule3[[#This Row],[INTEREST]],"")</f>
        <v>674.29481114610417</v>
      </c>
      <c r="I126" s="7">
        <f>IF(PaymentSchedule3[[#This Row],[PMT NO]]&lt;&gt;"",PaymentSchedule3[[#This Row],[BEGINNING BALANCE]]*(InterestRate/PaymentsPerYear),"")</f>
        <v>816.76871203650398</v>
      </c>
      <c r="J126" s="7">
        <f>IF(PaymentSchedule3[[#This Row],[PMT NO]]&lt;&gt;"",IF(PaymentSchedule3[[#This Row],[SCHEDULED PAYMENT]]+PaymentSchedule3[[#This Row],[EXTRA PAYMENT]]&lt;=PaymentSchedule3[[#This Row],[BEGINNING BALANCE]],PaymentSchedule3[[#This Row],[BEGINNING BALANCE]]-PaymentSchedule3[[#This Row],[PRINCIPAL]],0),"")</f>
        <v>257252.66688459201</v>
      </c>
      <c r="K126" s="7">
        <f>IF(PaymentSchedule3[[#This Row],[PMT NO]]&lt;&gt;"",SUM(INDEX([INTEREST],1,1):PaymentSchedule3[[#This Row],[INTEREST]]),"")</f>
        <v>101269.65443467895</v>
      </c>
    </row>
    <row r="127" spans="2:11">
      <c r="B127" s="4">
        <f>IF(LoanIsGood,IF(ROW()-ROW(PaymentSchedule3[[#Headers],[PMT NO]])&gt;ScheduledNumberOfPayments,"",ROW()-ROW(PaymentSchedule3[[#Headers],[PMT NO]])),"")</f>
        <v>111</v>
      </c>
      <c r="C127" s="5">
        <f>IF(PaymentSchedule3[[#This Row],[PMT NO]]&lt;&gt;"",EOMONTH(LoanStartDate,ROW(PaymentSchedule3[[#This Row],[PMT NO]])-ROW(PaymentSchedule3[[#Headers],[PMT NO]])-2)+DAY(LoanStartDate),"")</f>
        <v>47423</v>
      </c>
      <c r="D127" s="7">
        <f>IF(PaymentSchedule3[[#This Row],[PMT NO]]&lt;&gt;"",IF(ROW()-ROW(PaymentSchedule3[[#Headers],[BEGINNING BALANCE]])=1,LoanAmount,INDEX([ENDING BALANCE],ROW()-ROW(PaymentSchedule3[[#Headers],[BEGINNING BALANCE]])-1)),"")</f>
        <v>257252.66688459201</v>
      </c>
      <c r="E127" s="7">
        <f>IF(PaymentSchedule3[[#This Row],[PMT NO]]&lt;&gt;"",ScheduledPayment,"")</f>
        <v>1491.0635231826082</v>
      </c>
      <c r="F12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27" s="7">
        <f>IF(PaymentSchedule3[[#This Row],[PMT NO]]&lt;&gt;"",PaymentSchedule3[[#This Row],[TOTAL PAYMENT]]-PaymentSchedule3[[#This Row],[INTEREST]],"")</f>
        <v>676.43007804806678</v>
      </c>
      <c r="I127" s="7">
        <f>IF(PaymentSchedule3[[#This Row],[PMT NO]]&lt;&gt;"",PaymentSchedule3[[#This Row],[BEGINNING BALANCE]]*(InterestRate/PaymentsPerYear),"")</f>
        <v>814.63344513454138</v>
      </c>
      <c r="J127" s="7">
        <f>IF(PaymentSchedule3[[#This Row],[PMT NO]]&lt;&gt;"",IF(PaymentSchedule3[[#This Row],[SCHEDULED PAYMENT]]+PaymentSchedule3[[#This Row],[EXTRA PAYMENT]]&lt;=PaymentSchedule3[[#This Row],[BEGINNING BALANCE]],PaymentSchedule3[[#This Row],[BEGINNING BALANCE]]-PaymentSchedule3[[#This Row],[PRINCIPAL]],0),"")</f>
        <v>256576.23680654395</v>
      </c>
      <c r="K127" s="7">
        <f>IF(PaymentSchedule3[[#This Row],[PMT NO]]&lt;&gt;"",SUM(INDEX([INTEREST],1,1):PaymentSchedule3[[#This Row],[INTEREST]]),"")</f>
        <v>102084.28787981349</v>
      </c>
    </row>
    <row r="128" spans="2:11">
      <c r="B128" s="4">
        <f>IF(LoanIsGood,IF(ROW()-ROW(PaymentSchedule3[[#Headers],[PMT NO]])&gt;ScheduledNumberOfPayments,"",ROW()-ROW(PaymentSchedule3[[#Headers],[PMT NO]])),"")</f>
        <v>112</v>
      </c>
      <c r="C128" s="5">
        <f>IF(PaymentSchedule3[[#This Row],[PMT NO]]&lt;&gt;"",EOMONTH(LoanStartDate,ROW(PaymentSchedule3[[#This Row],[PMT NO]])-ROW(PaymentSchedule3[[#Headers],[PMT NO]])-2)+DAY(LoanStartDate),"")</f>
        <v>47453</v>
      </c>
      <c r="D128" s="7">
        <f>IF(PaymentSchedule3[[#This Row],[PMT NO]]&lt;&gt;"",IF(ROW()-ROW(PaymentSchedule3[[#Headers],[BEGINNING BALANCE]])=1,LoanAmount,INDEX([ENDING BALANCE],ROW()-ROW(PaymentSchedule3[[#Headers],[BEGINNING BALANCE]])-1)),"")</f>
        <v>256576.23680654395</v>
      </c>
      <c r="E128" s="7">
        <f>IF(PaymentSchedule3[[#This Row],[PMT NO]]&lt;&gt;"",ScheduledPayment,"")</f>
        <v>1491.0635231826082</v>
      </c>
      <c r="F12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28" s="7">
        <f>IF(PaymentSchedule3[[#This Row],[PMT NO]]&lt;&gt;"",PaymentSchedule3[[#This Row],[TOTAL PAYMENT]]-PaymentSchedule3[[#This Row],[INTEREST]],"")</f>
        <v>678.57210662855232</v>
      </c>
      <c r="I128" s="7">
        <f>IF(PaymentSchedule3[[#This Row],[PMT NO]]&lt;&gt;"",PaymentSchedule3[[#This Row],[BEGINNING BALANCE]]*(InterestRate/PaymentsPerYear),"")</f>
        <v>812.49141655405583</v>
      </c>
      <c r="J128" s="7">
        <f>IF(PaymentSchedule3[[#This Row],[PMT NO]]&lt;&gt;"",IF(PaymentSchedule3[[#This Row],[SCHEDULED PAYMENT]]+PaymentSchedule3[[#This Row],[EXTRA PAYMENT]]&lt;=PaymentSchedule3[[#This Row],[BEGINNING BALANCE]],PaymentSchedule3[[#This Row],[BEGINNING BALANCE]]-PaymentSchedule3[[#This Row],[PRINCIPAL]],0),"")</f>
        <v>255897.66469991539</v>
      </c>
      <c r="K128" s="7">
        <f>IF(PaymentSchedule3[[#This Row],[PMT NO]]&lt;&gt;"",SUM(INDEX([INTEREST],1,1):PaymentSchedule3[[#This Row],[INTEREST]]),"")</f>
        <v>102896.77929636755</v>
      </c>
    </row>
    <row r="129" spans="2:11">
      <c r="B129" s="4">
        <f>IF(LoanIsGood,IF(ROW()-ROW(PaymentSchedule3[[#Headers],[PMT NO]])&gt;ScheduledNumberOfPayments,"",ROW()-ROW(PaymentSchedule3[[#Headers],[PMT NO]])),"")</f>
        <v>113</v>
      </c>
      <c r="C129" s="5">
        <f>IF(PaymentSchedule3[[#This Row],[PMT NO]]&lt;&gt;"",EOMONTH(LoanStartDate,ROW(PaymentSchedule3[[#This Row],[PMT NO]])-ROW(PaymentSchedule3[[#Headers],[PMT NO]])-2)+DAY(LoanStartDate),"")</f>
        <v>47484</v>
      </c>
      <c r="D129" s="7">
        <f>IF(PaymentSchedule3[[#This Row],[PMT NO]]&lt;&gt;"",IF(ROW()-ROW(PaymentSchedule3[[#Headers],[BEGINNING BALANCE]])=1,LoanAmount,INDEX([ENDING BALANCE],ROW()-ROW(PaymentSchedule3[[#Headers],[BEGINNING BALANCE]])-1)),"")</f>
        <v>255897.66469991539</v>
      </c>
      <c r="E129" s="7">
        <f>IF(PaymentSchedule3[[#This Row],[PMT NO]]&lt;&gt;"",ScheduledPayment,"")</f>
        <v>1491.0635231826082</v>
      </c>
      <c r="F12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29" s="7">
        <f>IF(PaymentSchedule3[[#This Row],[PMT NO]]&lt;&gt;"",PaymentSchedule3[[#This Row],[TOTAL PAYMENT]]-PaymentSchedule3[[#This Row],[INTEREST]],"")</f>
        <v>680.72091829954275</v>
      </c>
      <c r="I129" s="7">
        <f>IF(PaymentSchedule3[[#This Row],[PMT NO]]&lt;&gt;"",PaymentSchedule3[[#This Row],[BEGINNING BALANCE]]*(InterestRate/PaymentsPerYear),"")</f>
        <v>810.34260488306541</v>
      </c>
      <c r="J129" s="7">
        <f>IF(PaymentSchedule3[[#This Row],[PMT NO]]&lt;&gt;"",IF(PaymentSchedule3[[#This Row],[SCHEDULED PAYMENT]]+PaymentSchedule3[[#This Row],[EXTRA PAYMENT]]&lt;=PaymentSchedule3[[#This Row],[BEGINNING BALANCE]],PaymentSchedule3[[#This Row],[BEGINNING BALANCE]]-PaymentSchedule3[[#This Row],[PRINCIPAL]],0),"")</f>
        <v>255216.94378161585</v>
      </c>
      <c r="K129" s="7">
        <f>IF(PaymentSchedule3[[#This Row],[PMT NO]]&lt;&gt;"",SUM(INDEX([INTEREST],1,1):PaymentSchedule3[[#This Row],[INTEREST]]),"")</f>
        <v>103707.1219012506</v>
      </c>
    </row>
    <row r="130" spans="2:11">
      <c r="B130" s="4">
        <f>IF(LoanIsGood,IF(ROW()-ROW(PaymentSchedule3[[#Headers],[PMT NO]])&gt;ScheduledNumberOfPayments,"",ROW()-ROW(PaymentSchedule3[[#Headers],[PMT NO]])),"")</f>
        <v>114</v>
      </c>
      <c r="C130" s="5">
        <f>IF(PaymentSchedule3[[#This Row],[PMT NO]]&lt;&gt;"",EOMONTH(LoanStartDate,ROW(PaymentSchedule3[[#This Row],[PMT NO]])-ROW(PaymentSchedule3[[#Headers],[PMT NO]])-2)+DAY(LoanStartDate),"")</f>
        <v>47515</v>
      </c>
      <c r="D130" s="7">
        <f>IF(PaymentSchedule3[[#This Row],[PMT NO]]&lt;&gt;"",IF(ROW()-ROW(PaymentSchedule3[[#Headers],[BEGINNING BALANCE]])=1,LoanAmount,INDEX([ENDING BALANCE],ROW()-ROW(PaymentSchedule3[[#Headers],[BEGINNING BALANCE]])-1)),"")</f>
        <v>255216.94378161585</v>
      </c>
      <c r="E130" s="7">
        <f>IF(PaymentSchedule3[[#This Row],[PMT NO]]&lt;&gt;"",ScheduledPayment,"")</f>
        <v>1491.0635231826082</v>
      </c>
      <c r="F13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30" s="7">
        <f>IF(PaymentSchedule3[[#This Row],[PMT NO]]&lt;&gt;"",PaymentSchedule3[[#This Row],[TOTAL PAYMENT]]-PaymentSchedule3[[#This Row],[INTEREST]],"")</f>
        <v>682.87653454082465</v>
      </c>
      <c r="I130" s="7">
        <f>IF(PaymentSchedule3[[#This Row],[PMT NO]]&lt;&gt;"",PaymentSchedule3[[#This Row],[BEGINNING BALANCE]]*(InterestRate/PaymentsPerYear),"")</f>
        <v>808.1869886417835</v>
      </c>
      <c r="J130" s="7">
        <f>IF(PaymentSchedule3[[#This Row],[PMT NO]]&lt;&gt;"",IF(PaymentSchedule3[[#This Row],[SCHEDULED PAYMENT]]+PaymentSchedule3[[#This Row],[EXTRA PAYMENT]]&lt;=PaymentSchedule3[[#This Row],[BEGINNING BALANCE]],PaymentSchedule3[[#This Row],[BEGINNING BALANCE]]-PaymentSchedule3[[#This Row],[PRINCIPAL]],0),"")</f>
        <v>254534.06724707503</v>
      </c>
      <c r="K130" s="7">
        <f>IF(PaymentSchedule3[[#This Row],[PMT NO]]&lt;&gt;"",SUM(INDEX([INTEREST],1,1):PaymentSchedule3[[#This Row],[INTEREST]]),"")</f>
        <v>104515.30888989239</v>
      </c>
    </row>
    <row r="131" spans="2:11">
      <c r="B131" s="4">
        <f>IF(LoanIsGood,IF(ROW()-ROW(PaymentSchedule3[[#Headers],[PMT NO]])&gt;ScheduledNumberOfPayments,"",ROW()-ROW(PaymentSchedule3[[#Headers],[PMT NO]])),"")</f>
        <v>115</v>
      </c>
      <c r="C131" s="5">
        <f>IF(PaymentSchedule3[[#This Row],[PMT NO]]&lt;&gt;"",EOMONTH(LoanStartDate,ROW(PaymentSchedule3[[#This Row],[PMT NO]])-ROW(PaymentSchedule3[[#Headers],[PMT NO]])-2)+DAY(LoanStartDate),"")</f>
        <v>47543</v>
      </c>
      <c r="D131" s="7">
        <f>IF(PaymentSchedule3[[#This Row],[PMT NO]]&lt;&gt;"",IF(ROW()-ROW(PaymentSchedule3[[#Headers],[BEGINNING BALANCE]])=1,LoanAmount,INDEX([ENDING BALANCE],ROW()-ROW(PaymentSchedule3[[#Headers],[BEGINNING BALANCE]])-1)),"")</f>
        <v>254534.06724707503</v>
      </c>
      <c r="E131" s="7">
        <f>IF(PaymentSchedule3[[#This Row],[PMT NO]]&lt;&gt;"",ScheduledPayment,"")</f>
        <v>1491.0635231826082</v>
      </c>
      <c r="F13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31" s="7">
        <f>IF(PaymentSchedule3[[#This Row],[PMT NO]]&lt;&gt;"",PaymentSchedule3[[#This Row],[TOTAL PAYMENT]]-PaymentSchedule3[[#This Row],[INTEREST]],"")</f>
        <v>685.03897690020392</v>
      </c>
      <c r="I131" s="7">
        <f>IF(PaymentSchedule3[[#This Row],[PMT NO]]&lt;&gt;"",PaymentSchedule3[[#This Row],[BEGINNING BALANCE]]*(InterestRate/PaymentsPerYear),"")</f>
        <v>806.02454628240423</v>
      </c>
      <c r="J131" s="7">
        <f>IF(PaymentSchedule3[[#This Row],[PMT NO]]&lt;&gt;"",IF(PaymentSchedule3[[#This Row],[SCHEDULED PAYMENT]]+PaymentSchedule3[[#This Row],[EXTRA PAYMENT]]&lt;=PaymentSchedule3[[#This Row],[BEGINNING BALANCE]],PaymentSchedule3[[#This Row],[BEGINNING BALANCE]]-PaymentSchedule3[[#This Row],[PRINCIPAL]],0),"")</f>
        <v>253849.02827017484</v>
      </c>
      <c r="K131" s="7">
        <f>IF(PaymentSchedule3[[#This Row],[PMT NO]]&lt;&gt;"",SUM(INDEX([INTEREST],1,1):PaymentSchedule3[[#This Row],[INTEREST]]),"")</f>
        <v>105321.3334361748</v>
      </c>
    </row>
    <row r="132" spans="2:11">
      <c r="B132" s="4">
        <f>IF(LoanIsGood,IF(ROW()-ROW(PaymentSchedule3[[#Headers],[PMT NO]])&gt;ScheduledNumberOfPayments,"",ROW()-ROW(PaymentSchedule3[[#Headers],[PMT NO]])),"")</f>
        <v>116</v>
      </c>
      <c r="C132" s="5">
        <f>IF(PaymentSchedule3[[#This Row],[PMT NO]]&lt;&gt;"",EOMONTH(LoanStartDate,ROW(PaymentSchedule3[[#This Row],[PMT NO]])-ROW(PaymentSchedule3[[#Headers],[PMT NO]])-2)+DAY(LoanStartDate),"")</f>
        <v>47574</v>
      </c>
      <c r="D132" s="7">
        <f>IF(PaymentSchedule3[[#This Row],[PMT NO]]&lt;&gt;"",IF(ROW()-ROW(PaymentSchedule3[[#Headers],[BEGINNING BALANCE]])=1,LoanAmount,INDEX([ENDING BALANCE],ROW()-ROW(PaymentSchedule3[[#Headers],[BEGINNING BALANCE]])-1)),"")</f>
        <v>253849.02827017484</v>
      </c>
      <c r="E132" s="7">
        <f>IF(PaymentSchedule3[[#This Row],[PMT NO]]&lt;&gt;"",ScheduledPayment,"")</f>
        <v>1491.0635231826082</v>
      </c>
      <c r="F13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32" s="7">
        <f>IF(PaymentSchedule3[[#This Row],[PMT NO]]&lt;&gt;"",PaymentSchedule3[[#This Row],[TOTAL PAYMENT]]-PaymentSchedule3[[#This Row],[INTEREST]],"")</f>
        <v>687.20826699372117</v>
      </c>
      <c r="I132" s="7">
        <f>IF(PaymentSchedule3[[#This Row],[PMT NO]]&lt;&gt;"",PaymentSchedule3[[#This Row],[BEGINNING BALANCE]]*(InterestRate/PaymentsPerYear),"")</f>
        <v>803.85525618888698</v>
      </c>
      <c r="J132" s="7">
        <f>IF(PaymentSchedule3[[#This Row],[PMT NO]]&lt;&gt;"",IF(PaymentSchedule3[[#This Row],[SCHEDULED PAYMENT]]+PaymentSchedule3[[#This Row],[EXTRA PAYMENT]]&lt;=PaymentSchedule3[[#This Row],[BEGINNING BALANCE]],PaymentSchedule3[[#This Row],[BEGINNING BALANCE]]-PaymentSchedule3[[#This Row],[PRINCIPAL]],0),"")</f>
        <v>253161.82000318111</v>
      </c>
      <c r="K132" s="7">
        <f>IF(PaymentSchedule3[[#This Row],[PMT NO]]&lt;&gt;"",SUM(INDEX([INTEREST],1,1):PaymentSchedule3[[#This Row],[INTEREST]]),"")</f>
        <v>106125.18869236369</v>
      </c>
    </row>
    <row r="133" spans="2:11">
      <c r="B133" s="4">
        <f>IF(LoanIsGood,IF(ROW()-ROW(PaymentSchedule3[[#Headers],[PMT NO]])&gt;ScheduledNumberOfPayments,"",ROW()-ROW(PaymentSchedule3[[#Headers],[PMT NO]])),"")</f>
        <v>117</v>
      </c>
      <c r="C133" s="5">
        <f>IF(PaymentSchedule3[[#This Row],[PMT NO]]&lt;&gt;"",EOMONTH(LoanStartDate,ROW(PaymentSchedule3[[#This Row],[PMT NO]])-ROW(PaymentSchedule3[[#Headers],[PMT NO]])-2)+DAY(LoanStartDate),"")</f>
        <v>47604</v>
      </c>
      <c r="D133" s="7">
        <f>IF(PaymentSchedule3[[#This Row],[PMT NO]]&lt;&gt;"",IF(ROW()-ROW(PaymentSchedule3[[#Headers],[BEGINNING BALANCE]])=1,LoanAmount,INDEX([ENDING BALANCE],ROW()-ROW(PaymentSchedule3[[#Headers],[BEGINNING BALANCE]])-1)),"")</f>
        <v>253161.82000318111</v>
      </c>
      <c r="E133" s="7">
        <f>IF(PaymentSchedule3[[#This Row],[PMT NO]]&lt;&gt;"",ScheduledPayment,"")</f>
        <v>1491.0635231826082</v>
      </c>
      <c r="F13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33" s="7">
        <f>IF(PaymentSchedule3[[#This Row],[PMT NO]]&lt;&gt;"",PaymentSchedule3[[#This Row],[TOTAL PAYMENT]]-PaymentSchedule3[[#This Row],[INTEREST]],"")</f>
        <v>689.38442650586796</v>
      </c>
      <c r="I133" s="7">
        <f>IF(PaymentSchedule3[[#This Row],[PMT NO]]&lt;&gt;"",PaymentSchedule3[[#This Row],[BEGINNING BALANCE]]*(InterestRate/PaymentsPerYear),"")</f>
        <v>801.67909667674019</v>
      </c>
      <c r="J133" s="7">
        <f>IF(PaymentSchedule3[[#This Row],[PMT NO]]&lt;&gt;"",IF(PaymentSchedule3[[#This Row],[SCHEDULED PAYMENT]]+PaymentSchedule3[[#This Row],[EXTRA PAYMENT]]&lt;=PaymentSchedule3[[#This Row],[BEGINNING BALANCE]],PaymentSchedule3[[#This Row],[BEGINNING BALANCE]]-PaymentSchedule3[[#This Row],[PRINCIPAL]],0),"")</f>
        <v>252472.43557667526</v>
      </c>
      <c r="K133" s="7">
        <f>IF(PaymentSchedule3[[#This Row],[PMT NO]]&lt;&gt;"",SUM(INDEX([INTEREST],1,1):PaymentSchedule3[[#This Row],[INTEREST]]),"")</f>
        <v>106926.86778904044</v>
      </c>
    </row>
    <row r="134" spans="2:11">
      <c r="B134" s="4">
        <f>IF(LoanIsGood,IF(ROW()-ROW(PaymentSchedule3[[#Headers],[PMT NO]])&gt;ScheduledNumberOfPayments,"",ROW()-ROW(PaymentSchedule3[[#Headers],[PMT NO]])),"")</f>
        <v>118</v>
      </c>
      <c r="C134" s="5">
        <f>IF(PaymentSchedule3[[#This Row],[PMT NO]]&lt;&gt;"",EOMONTH(LoanStartDate,ROW(PaymentSchedule3[[#This Row],[PMT NO]])-ROW(PaymentSchedule3[[#Headers],[PMT NO]])-2)+DAY(LoanStartDate),"")</f>
        <v>47635</v>
      </c>
      <c r="D134" s="7">
        <f>IF(PaymentSchedule3[[#This Row],[PMT NO]]&lt;&gt;"",IF(ROW()-ROW(PaymentSchedule3[[#Headers],[BEGINNING BALANCE]])=1,LoanAmount,INDEX([ENDING BALANCE],ROW()-ROW(PaymentSchedule3[[#Headers],[BEGINNING BALANCE]])-1)),"")</f>
        <v>252472.43557667526</v>
      </c>
      <c r="E134" s="7">
        <f>IF(PaymentSchedule3[[#This Row],[PMT NO]]&lt;&gt;"",ScheduledPayment,"")</f>
        <v>1491.0635231826082</v>
      </c>
      <c r="F13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34" s="7">
        <f>IF(PaymentSchedule3[[#This Row],[PMT NO]]&lt;&gt;"",PaymentSchedule3[[#This Row],[TOTAL PAYMENT]]-PaymentSchedule3[[#This Row],[INTEREST]],"")</f>
        <v>691.56747718980318</v>
      </c>
      <c r="I134" s="7">
        <f>IF(PaymentSchedule3[[#This Row],[PMT NO]]&lt;&gt;"",PaymentSchedule3[[#This Row],[BEGINNING BALANCE]]*(InterestRate/PaymentsPerYear),"")</f>
        <v>799.49604599280497</v>
      </c>
      <c r="J134" s="7">
        <f>IF(PaymentSchedule3[[#This Row],[PMT NO]]&lt;&gt;"",IF(PaymentSchedule3[[#This Row],[SCHEDULED PAYMENT]]+PaymentSchedule3[[#This Row],[EXTRA PAYMENT]]&lt;=PaymentSchedule3[[#This Row],[BEGINNING BALANCE]],PaymentSchedule3[[#This Row],[BEGINNING BALANCE]]-PaymentSchedule3[[#This Row],[PRINCIPAL]],0),"")</f>
        <v>251780.86809948547</v>
      </c>
      <c r="K134" s="7">
        <f>IF(PaymentSchedule3[[#This Row],[PMT NO]]&lt;&gt;"",SUM(INDEX([INTEREST],1,1):PaymentSchedule3[[#This Row],[INTEREST]]),"")</f>
        <v>107726.36383503325</v>
      </c>
    </row>
    <row r="135" spans="2:11">
      <c r="B135" s="4">
        <f>IF(LoanIsGood,IF(ROW()-ROW(PaymentSchedule3[[#Headers],[PMT NO]])&gt;ScheduledNumberOfPayments,"",ROW()-ROW(PaymentSchedule3[[#Headers],[PMT NO]])),"")</f>
        <v>119</v>
      </c>
      <c r="C135" s="5">
        <f>IF(PaymentSchedule3[[#This Row],[PMT NO]]&lt;&gt;"",EOMONTH(LoanStartDate,ROW(PaymentSchedule3[[#This Row],[PMT NO]])-ROW(PaymentSchedule3[[#Headers],[PMT NO]])-2)+DAY(LoanStartDate),"")</f>
        <v>47665</v>
      </c>
      <c r="D135" s="7">
        <f>IF(PaymentSchedule3[[#This Row],[PMT NO]]&lt;&gt;"",IF(ROW()-ROW(PaymentSchedule3[[#Headers],[BEGINNING BALANCE]])=1,LoanAmount,INDEX([ENDING BALANCE],ROW()-ROW(PaymentSchedule3[[#Headers],[BEGINNING BALANCE]])-1)),"")</f>
        <v>251780.86809948547</v>
      </c>
      <c r="E135" s="7">
        <f>IF(PaymentSchedule3[[#This Row],[PMT NO]]&lt;&gt;"",ScheduledPayment,"")</f>
        <v>1491.0635231826082</v>
      </c>
      <c r="F13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35" s="7">
        <f>IF(PaymentSchedule3[[#This Row],[PMT NO]]&lt;&gt;"",PaymentSchedule3[[#This Row],[TOTAL PAYMENT]]-PaymentSchedule3[[#This Row],[INTEREST]],"")</f>
        <v>693.75744086757084</v>
      </c>
      <c r="I135" s="7">
        <f>IF(PaymentSchedule3[[#This Row],[PMT NO]]&lt;&gt;"",PaymentSchedule3[[#This Row],[BEGINNING BALANCE]]*(InterestRate/PaymentsPerYear),"")</f>
        <v>797.30608231503732</v>
      </c>
      <c r="J135" s="7">
        <f>IF(PaymentSchedule3[[#This Row],[PMT NO]]&lt;&gt;"",IF(PaymentSchedule3[[#This Row],[SCHEDULED PAYMENT]]+PaymentSchedule3[[#This Row],[EXTRA PAYMENT]]&lt;=PaymentSchedule3[[#This Row],[BEGINNING BALANCE]],PaymentSchedule3[[#This Row],[BEGINNING BALANCE]]-PaymentSchedule3[[#This Row],[PRINCIPAL]],0),"")</f>
        <v>251087.11065861789</v>
      </c>
      <c r="K135" s="7">
        <f>IF(PaymentSchedule3[[#This Row],[PMT NO]]&lt;&gt;"",SUM(INDEX([INTEREST],1,1):PaymentSchedule3[[#This Row],[INTEREST]]),"")</f>
        <v>108523.66991734829</v>
      </c>
    </row>
    <row r="136" spans="2:11">
      <c r="B136" s="4">
        <f>IF(LoanIsGood,IF(ROW()-ROW(PaymentSchedule3[[#Headers],[PMT NO]])&gt;ScheduledNumberOfPayments,"",ROW()-ROW(PaymentSchedule3[[#Headers],[PMT NO]])),"")</f>
        <v>120</v>
      </c>
      <c r="C136" s="5">
        <f>IF(PaymentSchedule3[[#This Row],[PMT NO]]&lt;&gt;"",EOMONTH(LoanStartDate,ROW(PaymentSchedule3[[#This Row],[PMT NO]])-ROW(PaymentSchedule3[[#Headers],[PMT NO]])-2)+DAY(LoanStartDate),"")</f>
        <v>47696</v>
      </c>
      <c r="D136" s="7">
        <f>IF(PaymentSchedule3[[#This Row],[PMT NO]]&lt;&gt;"",IF(ROW()-ROW(PaymentSchedule3[[#Headers],[BEGINNING BALANCE]])=1,LoanAmount,INDEX([ENDING BALANCE],ROW()-ROW(PaymentSchedule3[[#Headers],[BEGINNING BALANCE]])-1)),"")</f>
        <v>251087.11065861789</v>
      </c>
      <c r="E136" s="7">
        <f>IF(PaymentSchedule3[[#This Row],[PMT NO]]&lt;&gt;"",ScheduledPayment,"")</f>
        <v>1491.0635231826082</v>
      </c>
      <c r="F13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36" s="7">
        <f>IF(PaymentSchedule3[[#This Row],[PMT NO]]&lt;&gt;"",PaymentSchedule3[[#This Row],[TOTAL PAYMENT]]-PaymentSchedule3[[#This Row],[INTEREST]],"")</f>
        <v>695.95433943031821</v>
      </c>
      <c r="I136" s="7">
        <f>IF(PaymentSchedule3[[#This Row],[PMT NO]]&lt;&gt;"",PaymentSchedule3[[#This Row],[BEGINNING BALANCE]]*(InterestRate/PaymentsPerYear),"")</f>
        <v>795.10918375228994</v>
      </c>
      <c r="J136" s="7">
        <f>IF(PaymentSchedule3[[#This Row],[PMT NO]]&lt;&gt;"",IF(PaymentSchedule3[[#This Row],[SCHEDULED PAYMENT]]+PaymentSchedule3[[#This Row],[EXTRA PAYMENT]]&lt;=PaymentSchedule3[[#This Row],[BEGINNING BALANCE]],PaymentSchedule3[[#This Row],[BEGINNING BALANCE]]-PaymentSchedule3[[#This Row],[PRINCIPAL]],0),"")</f>
        <v>250391.15631918758</v>
      </c>
      <c r="K136" s="7">
        <f>IF(PaymentSchedule3[[#This Row],[PMT NO]]&lt;&gt;"",SUM(INDEX([INTEREST],1,1):PaymentSchedule3[[#This Row],[INTEREST]]),"")</f>
        <v>109318.77910110058</v>
      </c>
    </row>
    <row r="137" spans="2:11">
      <c r="B137" s="4">
        <f>IF(LoanIsGood,IF(ROW()-ROW(PaymentSchedule3[[#Headers],[PMT NO]])&gt;ScheduledNumberOfPayments,"",ROW()-ROW(PaymentSchedule3[[#Headers],[PMT NO]])),"")</f>
        <v>121</v>
      </c>
      <c r="C137" s="5">
        <f>IF(PaymentSchedule3[[#This Row],[PMT NO]]&lt;&gt;"",EOMONTH(LoanStartDate,ROW(PaymentSchedule3[[#This Row],[PMT NO]])-ROW(PaymentSchedule3[[#Headers],[PMT NO]])-2)+DAY(LoanStartDate),"")</f>
        <v>47727</v>
      </c>
      <c r="D137" s="7">
        <f>IF(PaymentSchedule3[[#This Row],[PMT NO]]&lt;&gt;"",IF(ROW()-ROW(PaymentSchedule3[[#Headers],[BEGINNING BALANCE]])=1,LoanAmount,INDEX([ENDING BALANCE],ROW()-ROW(PaymentSchedule3[[#Headers],[BEGINNING BALANCE]])-1)),"")</f>
        <v>250391.15631918758</v>
      </c>
      <c r="E137" s="7">
        <f>IF(PaymentSchedule3[[#This Row],[PMT NO]]&lt;&gt;"",ScheduledPayment,"")</f>
        <v>1491.0635231826082</v>
      </c>
      <c r="F13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37" s="7">
        <f>IF(PaymentSchedule3[[#This Row],[PMT NO]]&lt;&gt;"",PaymentSchedule3[[#This Row],[TOTAL PAYMENT]]-PaymentSchedule3[[#This Row],[INTEREST]],"")</f>
        <v>698.15819483851419</v>
      </c>
      <c r="I137" s="7">
        <f>IF(PaymentSchedule3[[#This Row],[PMT NO]]&lt;&gt;"",PaymentSchedule3[[#This Row],[BEGINNING BALANCE]]*(InterestRate/PaymentsPerYear),"")</f>
        <v>792.90532834409396</v>
      </c>
      <c r="J137" s="7">
        <f>IF(PaymentSchedule3[[#This Row],[PMT NO]]&lt;&gt;"",IF(PaymentSchedule3[[#This Row],[SCHEDULED PAYMENT]]+PaymentSchedule3[[#This Row],[EXTRA PAYMENT]]&lt;=PaymentSchedule3[[#This Row],[BEGINNING BALANCE]],PaymentSchedule3[[#This Row],[BEGINNING BALANCE]]-PaymentSchedule3[[#This Row],[PRINCIPAL]],0),"")</f>
        <v>249692.99812434905</v>
      </c>
      <c r="K137" s="7">
        <f>IF(PaymentSchedule3[[#This Row],[PMT NO]]&lt;&gt;"",SUM(INDEX([INTEREST],1,1):PaymentSchedule3[[#This Row],[INTEREST]]),"")</f>
        <v>110111.68442944466</v>
      </c>
    </row>
    <row r="138" spans="2:11">
      <c r="B138" s="4">
        <f>IF(LoanIsGood,IF(ROW()-ROW(PaymentSchedule3[[#Headers],[PMT NO]])&gt;ScheduledNumberOfPayments,"",ROW()-ROW(PaymentSchedule3[[#Headers],[PMT NO]])),"")</f>
        <v>122</v>
      </c>
      <c r="C138" s="5">
        <f>IF(PaymentSchedule3[[#This Row],[PMT NO]]&lt;&gt;"",EOMONTH(LoanStartDate,ROW(PaymentSchedule3[[#This Row],[PMT NO]])-ROW(PaymentSchedule3[[#Headers],[PMT NO]])-2)+DAY(LoanStartDate),"")</f>
        <v>47757</v>
      </c>
      <c r="D138" s="7">
        <f>IF(PaymentSchedule3[[#This Row],[PMT NO]]&lt;&gt;"",IF(ROW()-ROW(PaymentSchedule3[[#Headers],[BEGINNING BALANCE]])=1,LoanAmount,INDEX([ENDING BALANCE],ROW()-ROW(PaymentSchedule3[[#Headers],[BEGINNING BALANCE]])-1)),"")</f>
        <v>249692.99812434905</v>
      </c>
      <c r="E138" s="7">
        <f>IF(PaymentSchedule3[[#This Row],[PMT NO]]&lt;&gt;"",ScheduledPayment,"")</f>
        <v>1491.0635231826082</v>
      </c>
      <c r="F13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38" s="7">
        <f>IF(PaymentSchedule3[[#This Row],[PMT NO]]&lt;&gt;"",PaymentSchedule3[[#This Row],[TOTAL PAYMENT]]-PaymentSchedule3[[#This Row],[INTEREST]],"")</f>
        <v>700.36902912216954</v>
      </c>
      <c r="I138" s="7">
        <f>IF(PaymentSchedule3[[#This Row],[PMT NO]]&lt;&gt;"",PaymentSchedule3[[#This Row],[BEGINNING BALANCE]]*(InterestRate/PaymentsPerYear),"")</f>
        <v>790.69449406043861</v>
      </c>
      <c r="J138" s="7">
        <f>IF(PaymentSchedule3[[#This Row],[PMT NO]]&lt;&gt;"",IF(PaymentSchedule3[[#This Row],[SCHEDULED PAYMENT]]+PaymentSchedule3[[#This Row],[EXTRA PAYMENT]]&lt;=PaymentSchedule3[[#This Row],[BEGINNING BALANCE]],PaymentSchedule3[[#This Row],[BEGINNING BALANCE]]-PaymentSchedule3[[#This Row],[PRINCIPAL]],0),"")</f>
        <v>248992.62909522688</v>
      </c>
      <c r="K138" s="7">
        <f>IF(PaymentSchedule3[[#This Row],[PMT NO]]&lt;&gt;"",SUM(INDEX([INTEREST],1,1):PaymentSchedule3[[#This Row],[INTEREST]]),"")</f>
        <v>110902.37892350511</v>
      </c>
    </row>
    <row r="139" spans="2:11">
      <c r="B139" s="4">
        <f>IF(LoanIsGood,IF(ROW()-ROW(PaymentSchedule3[[#Headers],[PMT NO]])&gt;ScheduledNumberOfPayments,"",ROW()-ROW(PaymentSchedule3[[#Headers],[PMT NO]])),"")</f>
        <v>123</v>
      </c>
      <c r="C139" s="5">
        <f>IF(PaymentSchedule3[[#This Row],[PMT NO]]&lt;&gt;"",EOMONTH(LoanStartDate,ROW(PaymentSchedule3[[#This Row],[PMT NO]])-ROW(PaymentSchedule3[[#Headers],[PMT NO]])-2)+DAY(LoanStartDate),"")</f>
        <v>47788</v>
      </c>
      <c r="D139" s="7">
        <f>IF(PaymentSchedule3[[#This Row],[PMT NO]]&lt;&gt;"",IF(ROW()-ROW(PaymentSchedule3[[#Headers],[BEGINNING BALANCE]])=1,LoanAmount,INDEX([ENDING BALANCE],ROW()-ROW(PaymentSchedule3[[#Headers],[BEGINNING BALANCE]])-1)),"")</f>
        <v>248992.62909522688</v>
      </c>
      <c r="E139" s="7">
        <f>IF(PaymentSchedule3[[#This Row],[PMT NO]]&lt;&gt;"",ScheduledPayment,"")</f>
        <v>1491.0635231826082</v>
      </c>
      <c r="F13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39" s="7">
        <f>IF(PaymentSchedule3[[#This Row],[PMT NO]]&lt;&gt;"",PaymentSchedule3[[#This Row],[TOTAL PAYMENT]]-PaymentSchedule3[[#This Row],[INTEREST]],"")</f>
        <v>702.58686438105644</v>
      </c>
      <c r="I139" s="7">
        <f>IF(PaymentSchedule3[[#This Row],[PMT NO]]&lt;&gt;"",PaymentSchedule3[[#This Row],[BEGINNING BALANCE]]*(InterestRate/PaymentsPerYear),"")</f>
        <v>788.47665880155171</v>
      </c>
      <c r="J139" s="7">
        <f>IF(PaymentSchedule3[[#This Row],[PMT NO]]&lt;&gt;"",IF(PaymentSchedule3[[#This Row],[SCHEDULED PAYMENT]]+PaymentSchedule3[[#This Row],[EXTRA PAYMENT]]&lt;=PaymentSchedule3[[#This Row],[BEGINNING BALANCE]],PaymentSchedule3[[#This Row],[BEGINNING BALANCE]]-PaymentSchedule3[[#This Row],[PRINCIPAL]],0),"")</f>
        <v>248290.04223084581</v>
      </c>
      <c r="K139" s="7">
        <f>IF(PaymentSchedule3[[#This Row],[PMT NO]]&lt;&gt;"",SUM(INDEX([INTEREST],1,1):PaymentSchedule3[[#This Row],[INTEREST]]),"")</f>
        <v>111690.85558230666</v>
      </c>
    </row>
    <row r="140" spans="2:11">
      <c r="B140" s="4">
        <f>IF(LoanIsGood,IF(ROW()-ROW(PaymentSchedule3[[#Headers],[PMT NO]])&gt;ScheduledNumberOfPayments,"",ROW()-ROW(PaymentSchedule3[[#Headers],[PMT NO]])),"")</f>
        <v>124</v>
      </c>
      <c r="C140" s="5">
        <f>IF(PaymentSchedule3[[#This Row],[PMT NO]]&lt;&gt;"",EOMONTH(LoanStartDate,ROW(PaymentSchedule3[[#This Row],[PMT NO]])-ROW(PaymentSchedule3[[#Headers],[PMT NO]])-2)+DAY(LoanStartDate),"")</f>
        <v>47818</v>
      </c>
      <c r="D140" s="7">
        <f>IF(PaymentSchedule3[[#This Row],[PMT NO]]&lt;&gt;"",IF(ROW()-ROW(PaymentSchedule3[[#Headers],[BEGINNING BALANCE]])=1,LoanAmount,INDEX([ENDING BALANCE],ROW()-ROW(PaymentSchedule3[[#Headers],[BEGINNING BALANCE]])-1)),"")</f>
        <v>248290.04223084581</v>
      </c>
      <c r="E140" s="7">
        <f>IF(PaymentSchedule3[[#This Row],[PMT NO]]&lt;&gt;"",ScheduledPayment,"")</f>
        <v>1491.0635231826082</v>
      </c>
      <c r="F14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40" s="7">
        <f>IF(PaymentSchedule3[[#This Row],[PMT NO]]&lt;&gt;"",PaymentSchedule3[[#This Row],[TOTAL PAYMENT]]-PaymentSchedule3[[#This Row],[INTEREST]],"")</f>
        <v>704.81172278492977</v>
      </c>
      <c r="I140" s="7">
        <f>IF(PaymentSchedule3[[#This Row],[PMT NO]]&lt;&gt;"",PaymentSchedule3[[#This Row],[BEGINNING BALANCE]]*(InterestRate/PaymentsPerYear),"")</f>
        <v>786.25180039767838</v>
      </c>
      <c r="J140" s="7">
        <f>IF(PaymentSchedule3[[#This Row],[PMT NO]]&lt;&gt;"",IF(PaymentSchedule3[[#This Row],[SCHEDULED PAYMENT]]+PaymentSchedule3[[#This Row],[EXTRA PAYMENT]]&lt;=PaymentSchedule3[[#This Row],[BEGINNING BALANCE]],PaymentSchedule3[[#This Row],[BEGINNING BALANCE]]-PaymentSchedule3[[#This Row],[PRINCIPAL]],0),"")</f>
        <v>247585.23050806086</v>
      </c>
      <c r="K140" s="7">
        <f>IF(PaymentSchedule3[[#This Row],[PMT NO]]&lt;&gt;"",SUM(INDEX([INTEREST],1,1):PaymentSchedule3[[#This Row],[INTEREST]]),"")</f>
        <v>112477.10738270433</v>
      </c>
    </row>
    <row r="141" spans="2:11">
      <c r="B141" s="4">
        <f>IF(LoanIsGood,IF(ROW()-ROW(PaymentSchedule3[[#Headers],[PMT NO]])&gt;ScheduledNumberOfPayments,"",ROW()-ROW(PaymentSchedule3[[#Headers],[PMT NO]])),"")</f>
        <v>125</v>
      </c>
      <c r="C141" s="5">
        <f>IF(PaymentSchedule3[[#This Row],[PMT NO]]&lt;&gt;"",EOMONTH(LoanStartDate,ROW(PaymentSchedule3[[#This Row],[PMT NO]])-ROW(PaymentSchedule3[[#Headers],[PMT NO]])-2)+DAY(LoanStartDate),"")</f>
        <v>47849</v>
      </c>
      <c r="D141" s="7">
        <f>IF(PaymentSchedule3[[#This Row],[PMT NO]]&lt;&gt;"",IF(ROW()-ROW(PaymentSchedule3[[#Headers],[BEGINNING BALANCE]])=1,LoanAmount,INDEX([ENDING BALANCE],ROW()-ROW(PaymentSchedule3[[#Headers],[BEGINNING BALANCE]])-1)),"")</f>
        <v>247585.23050806086</v>
      </c>
      <c r="E141" s="7">
        <f>IF(PaymentSchedule3[[#This Row],[PMT NO]]&lt;&gt;"",ScheduledPayment,"")</f>
        <v>1491.0635231826082</v>
      </c>
      <c r="F14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41" s="7">
        <f>IF(PaymentSchedule3[[#This Row],[PMT NO]]&lt;&gt;"",PaymentSchedule3[[#This Row],[TOTAL PAYMENT]]-PaymentSchedule3[[#This Row],[INTEREST]],"")</f>
        <v>707.04362657374872</v>
      </c>
      <c r="I141" s="7">
        <f>IF(PaymentSchedule3[[#This Row],[PMT NO]]&lt;&gt;"",PaymentSchedule3[[#This Row],[BEGINNING BALANCE]]*(InterestRate/PaymentsPerYear),"")</f>
        <v>784.01989660885943</v>
      </c>
      <c r="J141" s="7">
        <f>IF(PaymentSchedule3[[#This Row],[PMT NO]]&lt;&gt;"",IF(PaymentSchedule3[[#This Row],[SCHEDULED PAYMENT]]+PaymentSchedule3[[#This Row],[EXTRA PAYMENT]]&lt;=PaymentSchedule3[[#This Row],[BEGINNING BALANCE]],PaymentSchedule3[[#This Row],[BEGINNING BALANCE]]-PaymentSchedule3[[#This Row],[PRINCIPAL]],0),"")</f>
        <v>246878.18688148711</v>
      </c>
      <c r="K141" s="7">
        <f>IF(PaymentSchedule3[[#This Row],[PMT NO]]&lt;&gt;"",SUM(INDEX([INTEREST],1,1):PaymentSchedule3[[#This Row],[INTEREST]]),"")</f>
        <v>113261.12727931319</v>
      </c>
    </row>
    <row r="142" spans="2:11">
      <c r="B142" s="4">
        <f>IF(LoanIsGood,IF(ROW()-ROW(PaymentSchedule3[[#Headers],[PMT NO]])&gt;ScheduledNumberOfPayments,"",ROW()-ROW(PaymentSchedule3[[#Headers],[PMT NO]])),"")</f>
        <v>126</v>
      </c>
      <c r="C142" s="5">
        <f>IF(PaymentSchedule3[[#This Row],[PMT NO]]&lt;&gt;"",EOMONTH(LoanStartDate,ROW(PaymentSchedule3[[#This Row],[PMT NO]])-ROW(PaymentSchedule3[[#Headers],[PMT NO]])-2)+DAY(LoanStartDate),"")</f>
        <v>47880</v>
      </c>
      <c r="D142" s="7">
        <f>IF(PaymentSchedule3[[#This Row],[PMT NO]]&lt;&gt;"",IF(ROW()-ROW(PaymentSchedule3[[#Headers],[BEGINNING BALANCE]])=1,LoanAmount,INDEX([ENDING BALANCE],ROW()-ROW(PaymentSchedule3[[#Headers],[BEGINNING BALANCE]])-1)),"")</f>
        <v>246878.18688148711</v>
      </c>
      <c r="E142" s="7">
        <f>IF(PaymentSchedule3[[#This Row],[PMT NO]]&lt;&gt;"",ScheduledPayment,"")</f>
        <v>1491.0635231826082</v>
      </c>
      <c r="F14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42" s="7">
        <f>IF(PaymentSchedule3[[#This Row],[PMT NO]]&lt;&gt;"",PaymentSchedule3[[#This Row],[TOTAL PAYMENT]]-PaymentSchedule3[[#This Row],[INTEREST]],"")</f>
        <v>709.28259805789901</v>
      </c>
      <c r="I142" s="7">
        <f>IF(PaymentSchedule3[[#This Row],[PMT NO]]&lt;&gt;"",PaymentSchedule3[[#This Row],[BEGINNING BALANCE]]*(InterestRate/PaymentsPerYear),"")</f>
        <v>781.78092512470914</v>
      </c>
      <c r="J142" s="7">
        <f>IF(PaymentSchedule3[[#This Row],[PMT NO]]&lt;&gt;"",IF(PaymentSchedule3[[#This Row],[SCHEDULED PAYMENT]]+PaymentSchedule3[[#This Row],[EXTRA PAYMENT]]&lt;=PaymentSchedule3[[#This Row],[BEGINNING BALANCE]],PaymentSchedule3[[#This Row],[BEGINNING BALANCE]]-PaymentSchedule3[[#This Row],[PRINCIPAL]],0),"")</f>
        <v>246168.9042834292</v>
      </c>
      <c r="K142" s="7">
        <f>IF(PaymentSchedule3[[#This Row],[PMT NO]]&lt;&gt;"",SUM(INDEX([INTEREST],1,1):PaymentSchedule3[[#This Row],[INTEREST]]),"")</f>
        <v>114042.9082044379</v>
      </c>
    </row>
    <row r="143" spans="2:11">
      <c r="B143" s="4">
        <f>IF(LoanIsGood,IF(ROW()-ROW(PaymentSchedule3[[#Headers],[PMT NO]])&gt;ScheduledNumberOfPayments,"",ROW()-ROW(PaymentSchedule3[[#Headers],[PMT NO]])),"")</f>
        <v>127</v>
      </c>
      <c r="C143" s="5">
        <f>IF(PaymentSchedule3[[#This Row],[PMT NO]]&lt;&gt;"",EOMONTH(LoanStartDate,ROW(PaymentSchedule3[[#This Row],[PMT NO]])-ROW(PaymentSchedule3[[#Headers],[PMT NO]])-2)+DAY(LoanStartDate),"")</f>
        <v>47908</v>
      </c>
      <c r="D143" s="7">
        <f>IF(PaymentSchedule3[[#This Row],[PMT NO]]&lt;&gt;"",IF(ROW()-ROW(PaymentSchedule3[[#Headers],[BEGINNING BALANCE]])=1,LoanAmount,INDEX([ENDING BALANCE],ROW()-ROW(PaymentSchedule3[[#Headers],[BEGINNING BALANCE]])-1)),"")</f>
        <v>246168.9042834292</v>
      </c>
      <c r="E143" s="7">
        <f>IF(PaymentSchedule3[[#This Row],[PMT NO]]&lt;&gt;"",ScheduledPayment,"")</f>
        <v>1491.0635231826082</v>
      </c>
      <c r="F14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43" s="7">
        <f>IF(PaymentSchedule3[[#This Row],[PMT NO]]&lt;&gt;"",PaymentSchedule3[[#This Row],[TOTAL PAYMENT]]-PaymentSchedule3[[#This Row],[INTEREST]],"")</f>
        <v>711.52865961841565</v>
      </c>
      <c r="I143" s="7">
        <f>IF(PaymentSchedule3[[#This Row],[PMT NO]]&lt;&gt;"",PaymentSchedule3[[#This Row],[BEGINNING BALANCE]]*(InterestRate/PaymentsPerYear),"")</f>
        <v>779.53486356419251</v>
      </c>
      <c r="J143" s="7">
        <f>IF(PaymentSchedule3[[#This Row],[PMT NO]]&lt;&gt;"",IF(PaymentSchedule3[[#This Row],[SCHEDULED PAYMENT]]+PaymentSchedule3[[#This Row],[EXTRA PAYMENT]]&lt;=PaymentSchedule3[[#This Row],[BEGINNING BALANCE]],PaymentSchedule3[[#This Row],[BEGINNING BALANCE]]-PaymentSchedule3[[#This Row],[PRINCIPAL]],0),"")</f>
        <v>245457.3756238108</v>
      </c>
      <c r="K143" s="7">
        <f>IF(PaymentSchedule3[[#This Row],[PMT NO]]&lt;&gt;"",SUM(INDEX([INTEREST],1,1):PaymentSchedule3[[#This Row],[INTEREST]]),"")</f>
        <v>114822.44306800209</v>
      </c>
    </row>
    <row r="144" spans="2:11">
      <c r="B144" s="4">
        <f>IF(LoanIsGood,IF(ROW()-ROW(PaymentSchedule3[[#Headers],[PMT NO]])&gt;ScheduledNumberOfPayments,"",ROW()-ROW(PaymentSchedule3[[#Headers],[PMT NO]])),"")</f>
        <v>128</v>
      </c>
      <c r="C144" s="5">
        <f>IF(PaymentSchedule3[[#This Row],[PMT NO]]&lt;&gt;"",EOMONTH(LoanStartDate,ROW(PaymentSchedule3[[#This Row],[PMT NO]])-ROW(PaymentSchedule3[[#Headers],[PMT NO]])-2)+DAY(LoanStartDate),"")</f>
        <v>47939</v>
      </c>
      <c r="D144" s="7">
        <f>IF(PaymentSchedule3[[#This Row],[PMT NO]]&lt;&gt;"",IF(ROW()-ROW(PaymentSchedule3[[#Headers],[BEGINNING BALANCE]])=1,LoanAmount,INDEX([ENDING BALANCE],ROW()-ROW(PaymentSchedule3[[#Headers],[BEGINNING BALANCE]])-1)),"")</f>
        <v>245457.3756238108</v>
      </c>
      <c r="E144" s="7">
        <f>IF(PaymentSchedule3[[#This Row],[PMT NO]]&lt;&gt;"",ScheduledPayment,"")</f>
        <v>1491.0635231826082</v>
      </c>
      <c r="F14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44" s="7">
        <f>IF(PaymentSchedule3[[#This Row],[PMT NO]]&lt;&gt;"",PaymentSchedule3[[#This Row],[TOTAL PAYMENT]]-PaymentSchedule3[[#This Row],[INTEREST]],"")</f>
        <v>713.78183370720728</v>
      </c>
      <c r="I144" s="7">
        <f>IF(PaymentSchedule3[[#This Row],[PMT NO]]&lt;&gt;"",PaymentSchedule3[[#This Row],[BEGINNING BALANCE]]*(InterestRate/PaymentsPerYear),"")</f>
        <v>777.28168947540087</v>
      </c>
      <c r="J144" s="7">
        <f>IF(PaymentSchedule3[[#This Row],[PMT NO]]&lt;&gt;"",IF(PaymentSchedule3[[#This Row],[SCHEDULED PAYMENT]]+PaymentSchedule3[[#This Row],[EXTRA PAYMENT]]&lt;=PaymentSchedule3[[#This Row],[BEGINNING BALANCE]],PaymentSchedule3[[#This Row],[BEGINNING BALANCE]]-PaymentSchedule3[[#This Row],[PRINCIPAL]],0),"")</f>
        <v>244743.59379010359</v>
      </c>
      <c r="K144" s="7">
        <f>IF(PaymentSchedule3[[#This Row],[PMT NO]]&lt;&gt;"",SUM(INDEX([INTEREST],1,1):PaymentSchedule3[[#This Row],[INTEREST]]),"")</f>
        <v>115599.7247574775</v>
      </c>
    </row>
    <row r="145" spans="2:11">
      <c r="B145" s="4">
        <f>IF(LoanIsGood,IF(ROW()-ROW(PaymentSchedule3[[#Headers],[PMT NO]])&gt;ScheduledNumberOfPayments,"",ROW()-ROW(PaymentSchedule3[[#Headers],[PMT NO]])),"")</f>
        <v>129</v>
      </c>
      <c r="C145" s="5">
        <f>IF(PaymentSchedule3[[#This Row],[PMT NO]]&lt;&gt;"",EOMONTH(LoanStartDate,ROW(PaymentSchedule3[[#This Row],[PMT NO]])-ROW(PaymentSchedule3[[#Headers],[PMT NO]])-2)+DAY(LoanStartDate),"")</f>
        <v>47969</v>
      </c>
      <c r="D145" s="7">
        <f>IF(PaymentSchedule3[[#This Row],[PMT NO]]&lt;&gt;"",IF(ROW()-ROW(PaymentSchedule3[[#Headers],[BEGINNING BALANCE]])=1,LoanAmount,INDEX([ENDING BALANCE],ROW()-ROW(PaymentSchedule3[[#Headers],[BEGINNING BALANCE]])-1)),"")</f>
        <v>244743.59379010359</v>
      </c>
      <c r="E145" s="7">
        <f>IF(PaymentSchedule3[[#This Row],[PMT NO]]&lt;&gt;"",ScheduledPayment,"")</f>
        <v>1491.0635231826082</v>
      </c>
      <c r="F14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45" s="7">
        <f>IF(PaymentSchedule3[[#This Row],[PMT NO]]&lt;&gt;"",PaymentSchedule3[[#This Row],[TOTAL PAYMENT]]-PaymentSchedule3[[#This Row],[INTEREST]],"")</f>
        <v>716.04214284728016</v>
      </c>
      <c r="I145" s="7">
        <f>IF(PaymentSchedule3[[#This Row],[PMT NO]]&lt;&gt;"",PaymentSchedule3[[#This Row],[BEGINNING BALANCE]]*(InterestRate/PaymentsPerYear),"")</f>
        <v>775.02138033532799</v>
      </c>
      <c r="J145" s="7">
        <f>IF(PaymentSchedule3[[#This Row],[PMT NO]]&lt;&gt;"",IF(PaymentSchedule3[[#This Row],[SCHEDULED PAYMENT]]+PaymentSchedule3[[#This Row],[EXTRA PAYMENT]]&lt;=PaymentSchedule3[[#This Row],[BEGINNING BALANCE]],PaymentSchedule3[[#This Row],[BEGINNING BALANCE]]-PaymentSchedule3[[#This Row],[PRINCIPAL]],0),"")</f>
        <v>244027.5516472563</v>
      </c>
      <c r="K145" s="7">
        <f>IF(PaymentSchedule3[[#This Row],[PMT NO]]&lt;&gt;"",SUM(INDEX([INTEREST],1,1):PaymentSchedule3[[#This Row],[INTEREST]]),"")</f>
        <v>116374.74613781282</v>
      </c>
    </row>
    <row r="146" spans="2:11">
      <c r="B146" s="4">
        <f>IF(LoanIsGood,IF(ROW()-ROW(PaymentSchedule3[[#Headers],[PMT NO]])&gt;ScheduledNumberOfPayments,"",ROW()-ROW(PaymentSchedule3[[#Headers],[PMT NO]])),"")</f>
        <v>130</v>
      </c>
      <c r="C146" s="5">
        <f>IF(PaymentSchedule3[[#This Row],[PMT NO]]&lt;&gt;"",EOMONTH(LoanStartDate,ROW(PaymentSchedule3[[#This Row],[PMT NO]])-ROW(PaymentSchedule3[[#Headers],[PMT NO]])-2)+DAY(LoanStartDate),"")</f>
        <v>48000</v>
      </c>
      <c r="D146" s="7">
        <f>IF(PaymentSchedule3[[#This Row],[PMT NO]]&lt;&gt;"",IF(ROW()-ROW(PaymentSchedule3[[#Headers],[BEGINNING BALANCE]])=1,LoanAmount,INDEX([ENDING BALANCE],ROW()-ROW(PaymentSchedule3[[#Headers],[BEGINNING BALANCE]])-1)),"")</f>
        <v>244027.5516472563</v>
      </c>
      <c r="E146" s="7">
        <f>IF(PaymentSchedule3[[#This Row],[PMT NO]]&lt;&gt;"",ScheduledPayment,"")</f>
        <v>1491.0635231826082</v>
      </c>
      <c r="F14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46" s="7">
        <f>IF(PaymentSchedule3[[#This Row],[PMT NO]]&lt;&gt;"",PaymentSchedule3[[#This Row],[TOTAL PAYMENT]]-PaymentSchedule3[[#This Row],[INTEREST]],"")</f>
        <v>718.3096096329632</v>
      </c>
      <c r="I146" s="7">
        <f>IF(PaymentSchedule3[[#This Row],[PMT NO]]&lt;&gt;"",PaymentSchedule3[[#This Row],[BEGINNING BALANCE]]*(InterestRate/PaymentsPerYear),"")</f>
        <v>772.75391354964495</v>
      </c>
      <c r="J146" s="7">
        <f>IF(PaymentSchedule3[[#This Row],[PMT NO]]&lt;&gt;"",IF(PaymentSchedule3[[#This Row],[SCHEDULED PAYMENT]]+PaymentSchedule3[[#This Row],[EXTRA PAYMENT]]&lt;=PaymentSchedule3[[#This Row],[BEGINNING BALANCE]],PaymentSchedule3[[#This Row],[BEGINNING BALANCE]]-PaymentSchedule3[[#This Row],[PRINCIPAL]],0),"")</f>
        <v>243309.24203762333</v>
      </c>
      <c r="K146" s="7">
        <f>IF(PaymentSchedule3[[#This Row],[PMT NO]]&lt;&gt;"",SUM(INDEX([INTEREST],1,1):PaymentSchedule3[[#This Row],[INTEREST]]),"")</f>
        <v>117147.50005136247</v>
      </c>
    </row>
    <row r="147" spans="2:11">
      <c r="B147" s="4">
        <f>IF(LoanIsGood,IF(ROW()-ROW(PaymentSchedule3[[#Headers],[PMT NO]])&gt;ScheduledNumberOfPayments,"",ROW()-ROW(PaymentSchedule3[[#Headers],[PMT NO]])),"")</f>
        <v>131</v>
      </c>
      <c r="C147" s="5">
        <f>IF(PaymentSchedule3[[#This Row],[PMT NO]]&lt;&gt;"",EOMONTH(LoanStartDate,ROW(PaymentSchedule3[[#This Row],[PMT NO]])-ROW(PaymentSchedule3[[#Headers],[PMT NO]])-2)+DAY(LoanStartDate),"")</f>
        <v>48030</v>
      </c>
      <c r="D147" s="7">
        <f>IF(PaymentSchedule3[[#This Row],[PMT NO]]&lt;&gt;"",IF(ROW()-ROW(PaymentSchedule3[[#Headers],[BEGINNING BALANCE]])=1,LoanAmount,INDEX([ENDING BALANCE],ROW()-ROW(PaymentSchedule3[[#Headers],[BEGINNING BALANCE]])-1)),"")</f>
        <v>243309.24203762333</v>
      </c>
      <c r="E147" s="7">
        <f>IF(PaymentSchedule3[[#This Row],[PMT NO]]&lt;&gt;"",ScheduledPayment,"")</f>
        <v>1491.0635231826082</v>
      </c>
      <c r="F14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47" s="7">
        <f>IF(PaymentSchedule3[[#This Row],[PMT NO]]&lt;&gt;"",PaymentSchedule3[[#This Row],[TOTAL PAYMENT]]-PaymentSchedule3[[#This Row],[INTEREST]],"")</f>
        <v>720.58425673013426</v>
      </c>
      <c r="I147" s="7">
        <f>IF(PaymentSchedule3[[#This Row],[PMT NO]]&lt;&gt;"",PaymentSchedule3[[#This Row],[BEGINNING BALANCE]]*(InterestRate/PaymentsPerYear),"")</f>
        <v>770.47926645247389</v>
      </c>
      <c r="J147" s="7">
        <f>IF(PaymentSchedule3[[#This Row],[PMT NO]]&lt;&gt;"",IF(PaymentSchedule3[[#This Row],[SCHEDULED PAYMENT]]+PaymentSchedule3[[#This Row],[EXTRA PAYMENT]]&lt;=PaymentSchedule3[[#This Row],[BEGINNING BALANCE]],PaymentSchedule3[[#This Row],[BEGINNING BALANCE]]-PaymentSchedule3[[#This Row],[PRINCIPAL]],0),"")</f>
        <v>242588.65778089321</v>
      </c>
      <c r="K147" s="7">
        <f>IF(PaymentSchedule3[[#This Row],[PMT NO]]&lt;&gt;"",SUM(INDEX([INTEREST],1,1):PaymentSchedule3[[#This Row],[INTEREST]]),"")</f>
        <v>117917.97931781494</v>
      </c>
    </row>
    <row r="148" spans="2:11">
      <c r="B148" s="4">
        <f>IF(LoanIsGood,IF(ROW()-ROW(PaymentSchedule3[[#Headers],[PMT NO]])&gt;ScheduledNumberOfPayments,"",ROW()-ROW(PaymentSchedule3[[#Headers],[PMT NO]])),"")</f>
        <v>132</v>
      </c>
      <c r="C148" s="5">
        <f>IF(PaymentSchedule3[[#This Row],[PMT NO]]&lt;&gt;"",EOMONTH(LoanStartDate,ROW(PaymentSchedule3[[#This Row],[PMT NO]])-ROW(PaymentSchedule3[[#Headers],[PMT NO]])-2)+DAY(LoanStartDate),"")</f>
        <v>48061</v>
      </c>
      <c r="D148" s="7">
        <f>IF(PaymentSchedule3[[#This Row],[PMT NO]]&lt;&gt;"",IF(ROW()-ROW(PaymentSchedule3[[#Headers],[BEGINNING BALANCE]])=1,LoanAmount,INDEX([ENDING BALANCE],ROW()-ROW(PaymentSchedule3[[#Headers],[BEGINNING BALANCE]])-1)),"")</f>
        <v>242588.65778089321</v>
      </c>
      <c r="E148" s="7">
        <f>IF(PaymentSchedule3[[#This Row],[PMT NO]]&lt;&gt;"",ScheduledPayment,"")</f>
        <v>1491.0635231826082</v>
      </c>
      <c r="F14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48" s="7">
        <f>IF(PaymentSchedule3[[#This Row],[PMT NO]]&lt;&gt;"",PaymentSchedule3[[#This Row],[TOTAL PAYMENT]]-PaymentSchedule3[[#This Row],[INTEREST]],"")</f>
        <v>722.86610687644634</v>
      </c>
      <c r="I148" s="7">
        <f>IF(PaymentSchedule3[[#This Row],[PMT NO]]&lt;&gt;"",PaymentSchedule3[[#This Row],[BEGINNING BALANCE]]*(InterestRate/PaymentsPerYear),"")</f>
        <v>768.19741630616181</v>
      </c>
      <c r="J148" s="7">
        <f>IF(PaymentSchedule3[[#This Row],[PMT NO]]&lt;&gt;"",IF(PaymentSchedule3[[#This Row],[SCHEDULED PAYMENT]]+PaymentSchedule3[[#This Row],[EXTRA PAYMENT]]&lt;=PaymentSchedule3[[#This Row],[BEGINNING BALANCE]],PaymentSchedule3[[#This Row],[BEGINNING BALANCE]]-PaymentSchedule3[[#This Row],[PRINCIPAL]],0),"")</f>
        <v>241865.79167401677</v>
      </c>
      <c r="K148" s="7">
        <f>IF(PaymentSchedule3[[#This Row],[PMT NO]]&lt;&gt;"",SUM(INDEX([INTEREST],1,1):PaymentSchedule3[[#This Row],[INTEREST]]),"")</f>
        <v>118686.17673412111</v>
      </c>
    </row>
    <row r="149" spans="2:11">
      <c r="B149" s="4">
        <f>IF(LoanIsGood,IF(ROW()-ROW(PaymentSchedule3[[#Headers],[PMT NO]])&gt;ScheduledNumberOfPayments,"",ROW()-ROW(PaymentSchedule3[[#Headers],[PMT NO]])),"")</f>
        <v>133</v>
      </c>
      <c r="C149" s="5">
        <f>IF(PaymentSchedule3[[#This Row],[PMT NO]]&lt;&gt;"",EOMONTH(LoanStartDate,ROW(PaymentSchedule3[[#This Row],[PMT NO]])-ROW(PaymentSchedule3[[#Headers],[PMT NO]])-2)+DAY(LoanStartDate),"")</f>
        <v>48092</v>
      </c>
      <c r="D149" s="7">
        <f>IF(PaymentSchedule3[[#This Row],[PMT NO]]&lt;&gt;"",IF(ROW()-ROW(PaymentSchedule3[[#Headers],[BEGINNING BALANCE]])=1,LoanAmount,INDEX([ENDING BALANCE],ROW()-ROW(PaymentSchedule3[[#Headers],[BEGINNING BALANCE]])-1)),"")</f>
        <v>241865.79167401677</v>
      </c>
      <c r="E149" s="7">
        <f>IF(PaymentSchedule3[[#This Row],[PMT NO]]&lt;&gt;"",ScheduledPayment,"")</f>
        <v>1491.0635231826082</v>
      </c>
      <c r="F14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49" s="7">
        <f>IF(PaymentSchedule3[[#This Row],[PMT NO]]&lt;&gt;"",PaymentSchedule3[[#This Row],[TOTAL PAYMENT]]-PaymentSchedule3[[#This Row],[INTEREST]],"")</f>
        <v>725.15518288155511</v>
      </c>
      <c r="I149" s="7">
        <f>IF(PaymentSchedule3[[#This Row],[PMT NO]]&lt;&gt;"",PaymentSchedule3[[#This Row],[BEGINNING BALANCE]]*(InterestRate/PaymentsPerYear),"")</f>
        <v>765.90834030105304</v>
      </c>
      <c r="J149" s="7">
        <f>IF(PaymentSchedule3[[#This Row],[PMT NO]]&lt;&gt;"",IF(PaymentSchedule3[[#This Row],[SCHEDULED PAYMENT]]+PaymentSchedule3[[#This Row],[EXTRA PAYMENT]]&lt;=PaymentSchedule3[[#This Row],[BEGINNING BALANCE]],PaymentSchedule3[[#This Row],[BEGINNING BALANCE]]-PaymentSchedule3[[#This Row],[PRINCIPAL]],0),"")</f>
        <v>241140.63649113523</v>
      </c>
      <c r="K149" s="7">
        <f>IF(PaymentSchedule3[[#This Row],[PMT NO]]&lt;&gt;"",SUM(INDEX([INTEREST],1,1):PaymentSchedule3[[#This Row],[INTEREST]]),"")</f>
        <v>119452.08507442217</v>
      </c>
    </row>
    <row r="150" spans="2:11">
      <c r="B150" s="4">
        <f>IF(LoanIsGood,IF(ROW()-ROW(PaymentSchedule3[[#Headers],[PMT NO]])&gt;ScheduledNumberOfPayments,"",ROW()-ROW(PaymentSchedule3[[#Headers],[PMT NO]])),"")</f>
        <v>134</v>
      </c>
      <c r="C150" s="5">
        <f>IF(PaymentSchedule3[[#This Row],[PMT NO]]&lt;&gt;"",EOMONTH(LoanStartDate,ROW(PaymentSchedule3[[#This Row],[PMT NO]])-ROW(PaymentSchedule3[[#Headers],[PMT NO]])-2)+DAY(LoanStartDate),"")</f>
        <v>48122</v>
      </c>
      <c r="D150" s="7">
        <f>IF(PaymentSchedule3[[#This Row],[PMT NO]]&lt;&gt;"",IF(ROW()-ROW(PaymentSchedule3[[#Headers],[BEGINNING BALANCE]])=1,LoanAmount,INDEX([ENDING BALANCE],ROW()-ROW(PaymentSchedule3[[#Headers],[BEGINNING BALANCE]])-1)),"")</f>
        <v>241140.63649113523</v>
      </c>
      <c r="E150" s="7">
        <f>IF(PaymentSchedule3[[#This Row],[PMT NO]]&lt;&gt;"",ScheduledPayment,"")</f>
        <v>1491.0635231826082</v>
      </c>
      <c r="F15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50" s="7">
        <f>IF(PaymentSchedule3[[#This Row],[PMT NO]]&lt;&gt;"",PaymentSchedule3[[#This Row],[TOTAL PAYMENT]]-PaymentSchedule3[[#This Row],[INTEREST]],"")</f>
        <v>727.45150762734659</v>
      </c>
      <c r="I150" s="7">
        <f>IF(PaymentSchedule3[[#This Row],[PMT NO]]&lt;&gt;"",PaymentSchedule3[[#This Row],[BEGINNING BALANCE]]*(InterestRate/PaymentsPerYear),"")</f>
        <v>763.61201555526156</v>
      </c>
      <c r="J150" s="7">
        <f>IF(PaymentSchedule3[[#This Row],[PMT NO]]&lt;&gt;"",IF(PaymentSchedule3[[#This Row],[SCHEDULED PAYMENT]]+PaymentSchedule3[[#This Row],[EXTRA PAYMENT]]&lt;=PaymentSchedule3[[#This Row],[BEGINNING BALANCE]],PaymentSchedule3[[#This Row],[BEGINNING BALANCE]]-PaymentSchedule3[[#This Row],[PRINCIPAL]],0),"")</f>
        <v>240413.18498350788</v>
      </c>
      <c r="K150" s="7">
        <f>IF(PaymentSchedule3[[#This Row],[PMT NO]]&lt;&gt;"",SUM(INDEX([INTEREST],1,1):PaymentSchedule3[[#This Row],[INTEREST]]),"")</f>
        <v>120215.69708997743</v>
      </c>
    </row>
    <row r="151" spans="2:11">
      <c r="B151" s="4">
        <f>IF(LoanIsGood,IF(ROW()-ROW(PaymentSchedule3[[#Headers],[PMT NO]])&gt;ScheduledNumberOfPayments,"",ROW()-ROW(PaymentSchedule3[[#Headers],[PMT NO]])),"")</f>
        <v>135</v>
      </c>
      <c r="C151" s="5">
        <f>IF(PaymentSchedule3[[#This Row],[PMT NO]]&lt;&gt;"",EOMONTH(LoanStartDate,ROW(PaymentSchedule3[[#This Row],[PMT NO]])-ROW(PaymentSchedule3[[#Headers],[PMT NO]])-2)+DAY(LoanStartDate),"")</f>
        <v>48153</v>
      </c>
      <c r="D151" s="7">
        <f>IF(PaymentSchedule3[[#This Row],[PMT NO]]&lt;&gt;"",IF(ROW()-ROW(PaymentSchedule3[[#Headers],[BEGINNING BALANCE]])=1,LoanAmount,INDEX([ENDING BALANCE],ROW()-ROW(PaymentSchedule3[[#Headers],[BEGINNING BALANCE]])-1)),"")</f>
        <v>240413.18498350788</v>
      </c>
      <c r="E151" s="7">
        <f>IF(PaymentSchedule3[[#This Row],[PMT NO]]&lt;&gt;"",ScheduledPayment,"")</f>
        <v>1491.0635231826082</v>
      </c>
      <c r="F15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51" s="7">
        <f>IF(PaymentSchedule3[[#This Row],[PMT NO]]&lt;&gt;"",PaymentSchedule3[[#This Row],[TOTAL PAYMENT]]-PaymentSchedule3[[#This Row],[INTEREST]],"")</f>
        <v>729.75510406816659</v>
      </c>
      <c r="I151" s="7">
        <f>IF(PaymentSchedule3[[#This Row],[PMT NO]]&lt;&gt;"",PaymentSchedule3[[#This Row],[BEGINNING BALANCE]]*(InterestRate/PaymentsPerYear),"")</f>
        <v>761.30841911444156</v>
      </c>
      <c r="J151" s="7">
        <f>IF(PaymentSchedule3[[#This Row],[PMT NO]]&lt;&gt;"",IF(PaymentSchedule3[[#This Row],[SCHEDULED PAYMENT]]+PaymentSchedule3[[#This Row],[EXTRA PAYMENT]]&lt;=PaymentSchedule3[[#This Row],[BEGINNING BALANCE]],PaymentSchedule3[[#This Row],[BEGINNING BALANCE]]-PaymentSchedule3[[#This Row],[PRINCIPAL]],0),"")</f>
        <v>239683.4298794397</v>
      </c>
      <c r="K151" s="7">
        <f>IF(PaymentSchedule3[[#This Row],[PMT NO]]&lt;&gt;"",SUM(INDEX([INTEREST],1,1):PaymentSchedule3[[#This Row],[INTEREST]]),"")</f>
        <v>120977.00550909188</v>
      </c>
    </row>
    <row r="152" spans="2:11">
      <c r="B152" s="4">
        <f>IF(LoanIsGood,IF(ROW()-ROW(PaymentSchedule3[[#Headers],[PMT NO]])&gt;ScheduledNumberOfPayments,"",ROW()-ROW(PaymentSchedule3[[#Headers],[PMT NO]])),"")</f>
        <v>136</v>
      </c>
      <c r="C152" s="5">
        <f>IF(PaymentSchedule3[[#This Row],[PMT NO]]&lt;&gt;"",EOMONTH(LoanStartDate,ROW(PaymentSchedule3[[#This Row],[PMT NO]])-ROW(PaymentSchedule3[[#Headers],[PMT NO]])-2)+DAY(LoanStartDate),"")</f>
        <v>48183</v>
      </c>
      <c r="D152" s="7">
        <f>IF(PaymentSchedule3[[#This Row],[PMT NO]]&lt;&gt;"",IF(ROW()-ROW(PaymentSchedule3[[#Headers],[BEGINNING BALANCE]])=1,LoanAmount,INDEX([ENDING BALANCE],ROW()-ROW(PaymentSchedule3[[#Headers],[BEGINNING BALANCE]])-1)),"")</f>
        <v>239683.4298794397</v>
      </c>
      <c r="E152" s="7">
        <f>IF(PaymentSchedule3[[#This Row],[PMT NO]]&lt;&gt;"",ScheduledPayment,"")</f>
        <v>1491.0635231826082</v>
      </c>
      <c r="F15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52" s="7">
        <f>IF(PaymentSchedule3[[#This Row],[PMT NO]]&lt;&gt;"",PaymentSchedule3[[#This Row],[TOTAL PAYMENT]]-PaymentSchedule3[[#This Row],[INTEREST]],"")</f>
        <v>732.0659952310491</v>
      </c>
      <c r="I152" s="7">
        <f>IF(PaymentSchedule3[[#This Row],[PMT NO]]&lt;&gt;"",PaymentSchedule3[[#This Row],[BEGINNING BALANCE]]*(InterestRate/PaymentsPerYear),"")</f>
        <v>758.99752795155905</v>
      </c>
      <c r="J152" s="7">
        <f>IF(PaymentSchedule3[[#This Row],[PMT NO]]&lt;&gt;"",IF(PaymentSchedule3[[#This Row],[SCHEDULED PAYMENT]]+PaymentSchedule3[[#This Row],[EXTRA PAYMENT]]&lt;=PaymentSchedule3[[#This Row],[BEGINNING BALANCE]],PaymentSchedule3[[#This Row],[BEGINNING BALANCE]]-PaymentSchedule3[[#This Row],[PRINCIPAL]],0),"")</f>
        <v>238951.36388420867</v>
      </c>
      <c r="K152" s="7">
        <f>IF(PaymentSchedule3[[#This Row],[PMT NO]]&lt;&gt;"",SUM(INDEX([INTEREST],1,1):PaymentSchedule3[[#This Row],[INTEREST]]),"")</f>
        <v>121736.00303704344</v>
      </c>
    </row>
    <row r="153" spans="2:11">
      <c r="B153" s="4">
        <f>IF(LoanIsGood,IF(ROW()-ROW(PaymentSchedule3[[#Headers],[PMT NO]])&gt;ScheduledNumberOfPayments,"",ROW()-ROW(PaymentSchedule3[[#Headers],[PMT NO]])),"")</f>
        <v>137</v>
      </c>
      <c r="C153" s="5">
        <f>IF(PaymentSchedule3[[#This Row],[PMT NO]]&lt;&gt;"",EOMONTH(LoanStartDate,ROW(PaymentSchedule3[[#This Row],[PMT NO]])-ROW(PaymentSchedule3[[#Headers],[PMT NO]])-2)+DAY(LoanStartDate),"")</f>
        <v>48214</v>
      </c>
      <c r="D153" s="7">
        <f>IF(PaymentSchedule3[[#This Row],[PMT NO]]&lt;&gt;"",IF(ROW()-ROW(PaymentSchedule3[[#Headers],[BEGINNING BALANCE]])=1,LoanAmount,INDEX([ENDING BALANCE],ROW()-ROW(PaymentSchedule3[[#Headers],[BEGINNING BALANCE]])-1)),"")</f>
        <v>238951.36388420867</v>
      </c>
      <c r="E153" s="7">
        <f>IF(PaymentSchedule3[[#This Row],[PMT NO]]&lt;&gt;"",ScheduledPayment,"")</f>
        <v>1491.0635231826082</v>
      </c>
      <c r="F15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53" s="7">
        <f>IF(PaymentSchedule3[[#This Row],[PMT NO]]&lt;&gt;"",PaymentSchedule3[[#This Row],[TOTAL PAYMENT]]-PaymentSchedule3[[#This Row],[INTEREST]],"")</f>
        <v>734.38420421594742</v>
      </c>
      <c r="I153" s="7">
        <f>IF(PaymentSchedule3[[#This Row],[PMT NO]]&lt;&gt;"",PaymentSchedule3[[#This Row],[BEGINNING BALANCE]]*(InterestRate/PaymentsPerYear),"")</f>
        <v>756.67931896666073</v>
      </c>
      <c r="J153" s="7">
        <f>IF(PaymentSchedule3[[#This Row],[PMT NO]]&lt;&gt;"",IF(PaymentSchedule3[[#This Row],[SCHEDULED PAYMENT]]+PaymentSchedule3[[#This Row],[EXTRA PAYMENT]]&lt;=PaymentSchedule3[[#This Row],[BEGINNING BALANCE]],PaymentSchedule3[[#This Row],[BEGINNING BALANCE]]-PaymentSchedule3[[#This Row],[PRINCIPAL]],0),"")</f>
        <v>238216.97967999271</v>
      </c>
      <c r="K153" s="7">
        <f>IF(PaymentSchedule3[[#This Row],[PMT NO]]&lt;&gt;"",SUM(INDEX([INTEREST],1,1):PaymentSchedule3[[#This Row],[INTEREST]]),"")</f>
        <v>122492.6823560101</v>
      </c>
    </row>
    <row r="154" spans="2:11">
      <c r="B154" s="4">
        <f>IF(LoanIsGood,IF(ROW()-ROW(PaymentSchedule3[[#Headers],[PMT NO]])&gt;ScheduledNumberOfPayments,"",ROW()-ROW(PaymentSchedule3[[#Headers],[PMT NO]])),"")</f>
        <v>138</v>
      </c>
      <c r="C154" s="5">
        <f>IF(PaymentSchedule3[[#This Row],[PMT NO]]&lt;&gt;"",EOMONTH(LoanStartDate,ROW(PaymentSchedule3[[#This Row],[PMT NO]])-ROW(PaymentSchedule3[[#Headers],[PMT NO]])-2)+DAY(LoanStartDate),"")</f>
        <v>48245</v>
      </c>
      <c r="D154" s="7">
        <f>IF(PaymentSchedule3[[#This Row],[PMT NO]]&lt;&gt;"",IF(ROW()-ROW(PaymentSchedule3[[#Headers],[BEGINNING BALANCE]])=1,LoanAmount,INDEX([ENDING BALANCE],ROW()-ROW(PaymentSchedule3[[#Headers],[BEGINNING BALANCE]])-1)),"")</f>
        <v>238216.97967999271</v>
      </c>
      <c r="E154" s="7">
        <f>IF(PaymentSchedule3[[#This Row],[PMT NO]]&lt;&gt;"",ScheduledPayment,"")</f>
        <v>1491.0635231826082</v>
      </c>
      <c r="F15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54" s="7">
        <f>IF(PaymentSchedule3[[#This Row],[PMT NO]]&lt;&gt;"",PaymentSchedule3[[#This Row],[TOTAL PAYMENT]]-PaymentSchedule3[[#This Row],[INTEREST]],"")</f>
        <v>736.70975419596459</v>
      </c>
      <c r="I154" s="7">
        <f>IF(PaymentSchedule3[[#This Row],[PMT NO]]&lt;&gt;"",PaymentSchedule3[[#This Row],[BEGINNING BALANCE]]*(InterestRate/PaymentsPerYear),"")</f>
        <v>754.35376898664356</v>
      </c>
      <c r="J154" s="7">
        <f>IF(PaymentSchedule3[[#This Row],[PMT NO]]&lt;&gt;"",IF(PaymentSchedule3[[#This Row],[SCHEDULED PAYMENT]]+PaymentSchedule3[[#This Row],[EXTRA PAYMENT]]&lt;=PaymentSchedule3[[#This Row],[BEGINNING BALANCE]],PaymentSchedule3[[#This Row],[BEGINNING BALANCE]]-PaymentSchedule3[[#This Row],[PRINCIPAL]],0),"")</f>
        <v>237480.26992579675</v>
      </c>
      <c r="K154" s="7">
        <f>IF(PaymentSchedule3[[#This Row],[PMT NO]]&lt;&gt;"",SUM(INDEX([INTEREST],1,1):PaymentSchedule3[[#This Row],[INTEREST]]),"")</f>
        <v>123247.03612499675</v>
      </c>
    </row>
    <row r="155" spans="2:11">
      <c r="B155" s="4">
        <f>IF(LoanIsGood,IF(ROW()-ROW(PaymentSchedule3[[#Headers],[PMT NO]])&gt;ScheduledNumberOfPayments,"",ROW()-ROW(PaymentSchedule3[[#Headers],[PMT NO]])),"")</f>
        <v>139</v>
      </c>
      <c r="C155" s="5">
        <f>IF(PaymentSchedule3[[#This Row],[PMT NO]]&lt;&gt;"",EOMONTH(LoanStartDate,ROW(PaymentSchedule3[[#This Row],[PMT NO]])-ROW(PaymentSchedule3[[#Headers],[PMT NO]])-2)+DAY(LoanStartDate),"")</f>
        <v>48274</v>
      </c>
      <c r="D155" s="7">
        <f>IF(PaymentSchedule3[[#This Row],[PMT NO]]&lt;&gt;"",IF(ROW()-ROW(PaymentSchedule3[[#Headers],[BEGINNING BALANCE]])=1,LoanAmount,INDEX([ENDING BALANCE],ROW()-ROW(PaymentSchedule3[[#Headers],[BEGINNING BALANCE]])-1)),"")</f>
        <v>237480.26992579675</v>
      </c>
      <c r="E155" s="7">
        <f>IF(PaymentSchedule3[[#This Row],[PMT NO]]&lt;&gt;"",ScheduledPayment,"")</f>
        <v>1491.0635231826082</v>
      </c>
      <c r="F15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55" s="7">
        <f>IF(PaymentSchedule3[[#This Row],[PMT NO]]&lt;&gt;"",PaymentSchedule3[[#This Row],[TOTAL PAYMENT]]-PaymentSchedule3[[#This Row],[INTEREST]],"")</f>
        <v>739.04266841758511</v>
      </c>
      <c r="I155" s="7">
        <f>IF(PaymentSchedule3[[#This Row],[PMT NO]]&lt;&gt;"",PaymentSchedule3[[#This Row],[BEGINNING BALANCE]]*(InterestRate/PaymentsPerYear),"")</f>
        <v>752.02085476502305</v>
      </c>
      <c r="J155" s="7">
        <f>IF(PaymentSchedule3[[#This Row],[PMT NO]]&lt;&gt;"",IF(PaymentSchedule3[[#This Row],[SCHEDULED PAYMENT]]+PaymentSchedule3[[#This Row],[EXTRA PAYMENT]]&lt;=PaymentSchedule3[[#This Row],[BEGINNING BALANCE]],PaymentSchedule3[[#This Row],[BEGINNING BALANCE]]-PaymentSchedule3[[#This Row],[PRINCIPAL]],0),"")</f>
        <v>236741.22725737916</v>
      </c>
      <c r="K155" s="7">
        <f>IF(PaymentSchedule3[[#This Row],[PMT NO]]&lt;&gt;"",SUM(INDEX([INTEREST],1,1):PaymentSchedule3[[#This Row],[INTEREST]]),"")</f>
        <v>123999.05697976178</v>
      </c>
    </row>
    <row r="156" spans="2:11">
      <c r="B156" s="4">
        <f>IF(LoanIsGood,IF(ROW()-ROW(PaymentSchedule3[[#Headers],[PMT NO]])&gt;ScheduledNumberOfPayments,"",ROW()-ROW(PaymentSchedule3[[#Headers],[PMT NO]])),"")</f>
        <v>140</v>
      </c>
      <c r="C156" s="5">
        <f>IF(PaymentSchedule3[[#This Row],[PMT NO]]&lt;&gt;"",EOMONTH(LoanStartDate,ROW(PaymentSchedule3[[#This Row],[PMT NO]])-ROW(PaymentSchedule3[[#Headers],[PMT NO]])-2)+DAY(LoanStartDate),"")</f>
        <v>48305</v>
      </c>
      <c r="D156" s="7">
        <f>IF(PaymentSchedule3[[#This Row],[PMT NO]]&lt;&gt;"",IF(ROW()-ROW(PaymentSchedule3[[#Headers],[BEGINNING BALANCE]])=1,LoanAmount,INDEX([ENDING BALANCE],ROW()-ROW(PaymentSchedule3[[#Headers],[BEGINNING BALANCE]])-1)),"")</f>
        <v>236741.22725737916</v>
      </c>
      <c r="E156" s="7">
        <f>IF(PaymentSchedule3[[#This Row],[PMT NO]]&lt;&gt;"",ScheduledPayment,"")</f>
        <v>1491.0635231826082</v>
      </c>
      <c r="F15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56" s="7">
        <f>IF(PaymentSchedule3[[#This Row],[PMT NO]]&lt;&gt;"",PaymentSchedule3[[#This Row],[TOTAL PAYMENT]]-PaymentSchedule3[[#This Row],[INTEREST]],"")</f>
        <v>741.38297020090749</v>
      </c>
      <c r="I156" s="7">
        <f>IF(PaymentSchedule3[[#This Row],[PMT NO]]&lt;&gt;"",PaymentSchedule3[[#This Row],[BEGINNING BALANCE]]*(InterestRate/PaymentsPerYear),"")</f>
        <v>749.68055298170066</v>
      </c>
      <c r="J156" s="7">
        <f>IF(PaymentSchedule3[[#This Row],[PMT NO]]&lt;&gt;"",IF(PaymentSchedule3[[#This Row],[SCHEDULED PAYMENT]]+PaymentSchedule3[[#This Row],[EXTRA PAYMENT]]&lt;=PaymentSchedule3[[#This Row],[BEGINNING BALANCE]],PaymentSchedule3[[#This Row],[BEGINNING BALANCE]]-PaymentSchedule3[[#This Row],[PRINCIPAL]],0),"")</f>
        <v>235999.84428717825</v>
      </c>
      <c r="K156" s="7">
        <f>IF(PaymentSchedule3[[#This Row],[PMT NO]]&lt;&gt;"",SUM(INDEX([INTEREST],1,1):PaymentSchedule3[[#This Row],[INTEREST]]),"")</f>
        <v>124748.73753274349</v>
      </c>
    </row>
    <row r="157" spans="2:11">
      <c r="B157" s="4">
        <f>IF(LoanIsGood,IF(ROW()-ROW(PaymentSchedule3[[#Headers],[PMT NO]])&gt;ScheduledNumberOfPayments,"",ROW()-ROW(PaymentSchedule3[[#Headers],[PMT NO]])),"")</f>
        <v>141</v>
      </c>
      <c r="C157" s="5">
        <f>IF(PaymentSchedule3[[#This Row],[PMT NO]]&lt;&gt;"",EOMONTH(LoanStartDate,ROW(PaymentSchedule3[[#This Row],[PMT NO]])-ROW(PaymentSchedule3[[#Headers],[PMT NO]])-2)+DAY(LoanStartDate),"")</f>
        <v>48335</v>
      </c>
      <c r="D157" s="7">
        <f>IF(PaymentSchedule3[[#This Row],[PMT NO]]&lt;&gt;"",IF(ROW()-ROW(PaymentSchedule3[[#Headers],[BEGINNING BALANCE]])=1,LoanAmount,INDEX([ENDING BALANCE],ROW()-ROW(PaymentSchedule3[[#Headers],[BEGINNING BALANCE]])-1)),"")</f>
        <v>235999.84428717825</v>
      </c>
      <c r="E157" s="7">
        <f>IF(PaymentSchedule3[[#This Row],[PMT NO]]&lt;&gt;"",ScheduledPayment,"")</f>
        <v>1491.0635231826082</v>
      </c>
      <c r="F15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57" s="7">
        <f>IF(PaymentSchedule3[[#This Row],[PMT NO]]&lt;&gt;"",PaymentSchedule3[[#This Row],[TOTAL PAYMENT]]-PaymentSchedule3[[#This Row],[INTEREST]],"")</f>
        <v>743.73068293987706</v>
      </c>
      <c r="I157" s="7">
        <f>IF(PaymentSchedule3[[#This Row],[PMT NO]]&lt;&gt;"",PaymentSchedule3[[#This Row],[BEGINNING BALANCE]]*(InterestRate/PaymentsPerYear),"")</f>
        <v>747.33284024273109</v>
      </c>
      <c r="J157" s="7">
        <f>IF(PaymentSchedule3[[#This Row],[PMT NO]]&lt;&gt;"",IF(PaymentSchedule3[[#This Row],[SCHEDULED PAYMENT]]+PaymentSchedule3[[#This Row],[EXTRA PAYMENT]]&lt;=PaymentSchedule3[[#This Row],[BEGINNING BALANCE]],PaymentSchedule3[[#This Row],[BEGINNING BALANCE]]-PaymentSchedule3[[#This Row],[PRINCIPAL]],0),"")</f>
        <v>235256.11360423837</v>
      </c>
      <c r="K157" s="7">
        <f>IF(PaymentSchedule3[[#This Row],[PMT NO]]&lt;&gt;"",SUM(INDEX([INTEREST],1,1):PaymentSchedule3[[#This Row],[INTEREST]]),"")</f>
        <v>125496.07037298621</v>
      </c>
    </row>
    <row r="158" spans="2:11">
      <c r="B158" s="4">
        <f>IF(LoanIsGood,IF(ROW()-ROW(PaymentSchedule3[[#Headers],[PMT NO]])&gt;ScheduledNumberOfPayments,"",ROW()-ROW(PaymentSchedule3[[#Headers],[PMT NO]])),"")</f>
        <v>142</v>
      </c>
      <c r="C158" s="5">
        <f>IF(PaymentSchedule3[[#This Row],[PMT NO]]&lt;&gt;"",EOMONTH(LoanStartDate,ROW(PaymentSchedule3[[#This Row],[PMT NO]])-ROW(PaymentSchedule3[[#Headers],[PMT NO]])-2)+DAY(LoanStartDate),"")</f>
        <v>48366</v>
      </c>
      <c r="D158" s="7">
        <f>IF(PaymentSchedule3[[#This Row],[PMT NO]]&lt;&gt;"",IF(ROW()-ROW(PaymentSchedule3[[#Headers],[BEGINNING BALANCE]])=1,LoanAmount,INDEX([ENDING BALANCE],ROW()-ROW(PaymentSchedule3[[#Headers],[BEGINNING BALANCE]])-1)),"")</f>
        <v>235256.11360423837</v>
      </c>
      <c r="E158" s="7">
        <f>IF(PaymentSchedule3[[#This Row],[PMT NO]]&lt;&gt;"",ScheduledPayment,"")</f>
        <v>1491.0635231826082</v>
      </c>
      <c r="F15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58" s="7">
        <f>IF(PaymentSchedule3[[#This Row],[PMT NO]]&lt;&gt;"",PaymentSchedule3[[#This Row],[TOTAL PAYMENT]]-PaymentSchedule3[[#This Row],[INTEREST]],"")</f>
        <v>746.08583010251994</v>
      </c>
      <c r="I158" s="7">
        <f>IF(PaymentSchedule3[[#This Row],[PMT NO]]&lt;&gt;"",PaymentSchedule3[[#This Row],[BEGINNING BALANCE]]*(InterestRate/PaymentsPerYear),"")</f>
        <v>744.97769308008822</v>
      </c>
      <c r="J158" s="7">
        <f>IF(PaymentSchedule3[[#This Row],[PMT NO]]&lt;&gt;"",IF(PaymentSchedule3[[#This Row],[SCHEDULED PAYMENT]]+PaymentSchedule3[[#This Row],[EXTRA PAYMENT]]&lt;=PaymentSchedule3[[#This Row],[BEGINNING BALANCE]],PaymentSchedule3[[#This Row],[BEGINNING BALANCE]]-PaymentSchedule3[[#This Row],[PRINCIPAL]],0),"")</f>
        <v>234510.02777413584</v>
      </c>
      <c r="K158" s="7">
        <f>IF(PaymentSchedule3[[#This Row],[PMT NO]]&lt;&gt;"",SUM(INDEX([INTEREST],1,1):PaymentSchedule3[[#This Row],[INTEREST]]),"")</f>
        <v>126241.0480660663</v>
      </c>
    </row>
    <row r="159" spans="2:11">
      <c r="B159" s="4">
        <f>IF(LoanIsGood,IF(ROW()-ROW(PaymentSchedule3[[#Headers],[PMT NO]])&gt;ScheduledNumberOfPayments,"",ROW()-ROW(PaymentSchedule3[[#Headers],[PMT NO]])),"")</f>
        <v>143</v>
      </c>
      <c r="C159" s="5">
        <f>IF(PaymentSchedule3[[#This Row],[PMT NO]]&lt;&gt;"",EOMONTH(LoanStartDate,ROW(PaymentSchedule3[[#This Row],[PMT NO]])-ROW(PaymentSchedule3[[#Headers],[PMT NO]])-2)+DAY(LoanStartDate),"")</f>
        <v>48396</v>
      </c>
      <c r="D159" s="7">
        <f>IF(PaymentSchedule3[[#This Row],[PMT NO]]&lt;&gt;"",IF(ROW()-ROW(PaymentSchedule3[[#Headers],[BEGINNING BALANCE]])=1,LoanAmount,INDEX([ENDING BALANCE],ROW()-ROW(PaymentSchedule3[[#Headers],[BEGINNING BALANCE]])-1)),"")</f>
        <v>234510.02777413584</v>
      </c>
      <c r="E159" s="7">
        <f>IF(PaymentSchedule3[[#This Row],[PMT NO]]&lt;&gt;"",ScheduledPayment,"")</f>
        <v>1491.0635231826082</v>
      </c>
      <c r="F15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59" s="7">
        <f>IF(PaymentSchedule3[[#This Row],[PMT NO]]&lt;&gt;"",PaymentSchedule3[[#This Row],[TOTAL PAYMENT]]-PaymentSchedule3[[#This Row],[INTEREST]],"")</f>
        <v>748.448435231178</v>
      </c>
      <c r="I159" s="7">
        <f>IF(PaymentSchedule3[[#This Row],[PMT NO]]&lt;&gt;"",PaymentSchedule3[[#This Row],[BEGINNING BALANCE]]*(InterestRate/PaymentsPerYear),"")</f>
        <v>742.61508795143016</v>
      </c>
      <c r="J159" s="7">
        <f>IF(PaymentSchedule3[[#This Row],[PMT NO]]&lt;&gt;"",IF(PaymentSchedule3[[#This Row],[SCHEDULED PAYMENT]]+PaymentSchedule3[[#This Row],[EXTRA PAYMENT]]&lt;=PaymentSchedule3[[#This Row],[BEGINNING BALANCE]],PaymentSchedule3[[#This Row],[BEGINNING BALANCE]]-PaymentSchedule3[[#This Row],[PRINCIPAL]],0),"")</f>
        <v>233761.57933890467</v>
      </c>
      <c r="K159" s="7">
        <f>IF(PaymentSchedule3[[#This Row],[PMT NO]]&lt;&gt;"",SUM(INDEX([INTEREST],1,1):PaymentSchedule3[[#This Row],[INTEREST]]),"")</f>
        <v>126983.66315401773</v>
      </c>
    </row>
    <row r="160" spans="2:11">
      <c r="B160" s="4">
        <f>IF(LoanIsGood,IF(ROW()-ROW(PaymentSchedule3[[#Headers],[PMT NO]])&gt;ScheduledNumberOfPayments,"",ROW()-ROW(PaymentSchedule3[[#Headers],[PMT NO]])),"")</f>
        <v>144</v>
      </c>
      <c r="C160" s="5">
        <f>IF(PaymentSchedule3[[#This Row],[PMT NO]]&lt;&gt;"",EOMONTH(LoanStartDate,ROW(PaymentSchedule3[[#This Row],[PMT NO]])-ROW(PaymentSchedule3[[#Headers],[PMT NO]])-2)+DAY(LoanStartDate),"")</f>
        <v>48427</v>
      </c>
      <c r="D160" s="7">
        <f>IF(PaymentSchedule3[[#This Row],[PMT NO]]&lt;&gt;"",IF(ROW()-ROW(PaymentSchedule3[[#Headers],[BEGINNING BALANCE]])=1,LoanAmount,INDEX([ENDING BALANCE],ROW()-ROW(PaymentSchedule3[[#Headers],[BEGINNING BALANCE]])-1)),"")</f>
        <v>233761.57933890467</v>
      </c>
      <c r="E160" s="7">
        <f>IF(PaymentSchedule3[[#This Row],[PMT NO]]&lt;&gt;"",ScheduledPayment,"")</f>
        <v>1491.0635231826082</v>
      </c>
      <c r="F16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60" s="7">
        <f>IF(PaymentSchedule3[[#This Row],[PMT NO]]&lt;&gt;"",PaymentSchedule3[[#This Row],[TOTAL PAYMENT]]-PaymentSchedule3[[#This Row],[INTEREST]],"")</f>
        <v>750.81852194274336</v>
      </c>
      <c r="I160" s="7">
        <f>IF(PaymentSchedule3[[#This Row],[PMT NO]]&lt;&gt;"",PaymentSchedule3[[#This Row],[BEGINNING BALANCE]]*(InterestRate/PaymentsPerYear),"")</f>
        <v>740.24500123986479</v>
      </c>
      <c r="J160" s="7">
        <f>IF(PaymentSchedule3[[#This Row],[PMT NO]]&lt;&gt;"",IF(PaymentSchedule3[[#This Row],[SCHEDULED PAYMENT]]+PaymentSchedule3[[#This Row],[EXTRA PAYMENT]]&lt;=PaymentSchedule3[[#This Row],[BEGINNING BALANCE]],PaymentSchedule3[[#This Row],[BEGINNING BALANCE]]-PaymentSchedule3[[#This Row],[PRINCIPAL]],0),"")</f>
        <v>233010.76081696193</v>
      </c>
      <c r="K160" s="7">
        <f>IF(PaymentSchedule3[[#This Row],[PMT NO]]&lt;&gt;"",SUM(INDEX([INTEREST],1,1):PaymentSchedule3[[#This Row],[INTEREST]]),"")</f>
        <v>127723.9081552576</v>
      </c>
    </row>
    <row r="161" spans="2:11">
      <c r="B161" s="4">
        <f>IF(LoanIsGood,IF(ROW()-ROW(PaymentSchedule3[[#Headers],[PMT NO]])&gt;ScheduledNumberOfPayments,"",ROW()-ROW(PaymentSchedule3[[#Headers],[PMT NO]])),"")</f>
        <v>145</v>
      </c>
      <c r="C161" s="5">
        <f>IF(PaymentSchedule3[[#This Row],[PMT NO]]&lt;&gt;"",EOMONTH(LoanStartDate,ROW(PaymentSchedule3[[#This Row],[PMT NO]])-ROW(PaymentSchedule3[[#Headers],[PMT NO]])-2)+DAY(LoanStartDate),"")</f>
        <v>48458</v>
      </c>
      <c r="D161" s="7">
        <f>IF(PaymentSchedule3[[#This Row],[PMT NO]]&lt;&gt;"",IF(ROW()-ROW(PaymentSchedule3[[#Headers],[BEGINNING BALANCE]])=1,LoanAmount,INDEX([ENDING BALANCE],ROW()-ROW(PaymentSchedule3[[#Headers],[BEGINNING BALANCE]])-1)),"")</f>
        <v>233010.76081696193</v>
      </c>
      <c r="E161" s="7">
        <f>IF(PaymentSchedule3[[#This Row],[PMT NO]]&lt;&gt;"",ScheduledPayment,"")</f>
        <v>1491.0635231826082</v>
      </c>
      <c r="F16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61" s="7">
        <f>IF(PaymentSchedule3[[#This Row],[PMT NO]]&lt;&gt;"",PaymentSchedule3[[#This Row],[TOTAL PAYMENT]]-PaymentSchedule3[[#This Row],[INTEREST]],"")</f>
        <v>753.19611392889533</v>
      </c>
      <c r="I161" s="7">
        <f>IF(PaymentSchedule3[[#This Row],[PMT NO]]&lt;&gt;"",PaymentSchedule3[[#This Row],[BEGINNING BALANCE]]*(InterestRate/PaymentsPerYear),"")</f>
        <v>737.86740925371282</v>
      </c>
      <c r="J161" s="7">
        <f>IF(PaymentSchedule3[[#This Row],[PMT NO]]&lt;&gt;"",IF(PaymentSchedule3[[#This Row],[SCHEDULED PAYMENT]]+PaymentSchedule3[[#This Row],[EXTRA PAYMENT]]&lt;=PaymentSchedule3[[#This Row],[BEGINNING BALANCE]],PaymentSchedule3[[#This Row],[BEGINNING BALANCE]]-PaymentSchedule3[[#This Row],[PRINCIPAL]],0),"")</f>
        <v>232257.56470303304</v>
      </c>
      <c r="K161" s="7">
        <f>IF(PaymentSchedule3[[#This Row],[PMT NO]]&lt;&gt;"",SUM(INDEX([INTEREST],1,1):PaymentSchedule3[[#This Row],[INTEREST]]),"")</f>
        <v>128461.77556451131</v>
      </c>
    </row>
    <row r="162" spans="2:11">
      <c r="B162" s="4">
        <f>IF(LoanIsGood,IF(ROW()-ROW(PaymentSchedule3[[#Headers],[PMT NO]])&gt;ScheduledNumberOfPayments,"",ROW()-ROW(PaymentSchedule3[[#Headers],[PMT NO]])),"")</f>
        <v>146</v>
      </c>
      <c r="C162" s="5">
        <f>IF(PaymentSchedule3[[#This Row],[PMT NO]]&lt;&gt;"",EOMONTH(LoanStartDate,ROW(PaymentSchedule3[[#This Row],[PMT NO]])-ROW(PaymentSchedule3[[#Headers],[PMT NO]])-2)+DAY(LoanStartDate),"")</f>
        <v>48488</v>
      </c>
      <c r="D162" s="7">
        <f>IF(PaymentSchedule3[[#This Row],[PMT NO]]&lt;&gt;"",IF(ROW()-ROW(PaymentSchedule3[[#Headers],[BEGINNING BALANCE]])=1,LoanAmount,INDEX([ENDING BALANCE],ROW()-ROW(PaymentSchedule3[[#Headers],[BEGINNING BALANCE]])-1)),"")</f>
        <v>232257.56470303304</v>
      </c>
      <c r="E162" s="7">
        <f>IF(PaymentSchedule3[[#This Row],[PMT NO]]&lt;&gt;"",ScheduledPayment,"")</f>
        <v>1491.0635231826082</v>
      </c>
      <c r="F16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62" s="7">
        <f>IF(PaymentSchedule3[[#This Row],[PMT NO]]&lt;&gt;"",PaymentSchedule3[[#This Row],[TOTAL PAYMENT]]-PaymentSchedule3[[#This Row],[INTEREST]],"")</f>
        <v>755.58123495633686</v>
      </c>
      <c r="I162" s="7">
        <f>IF(PaymentSchedule3[[#This Row],[PMT NO]]&lt;&gt;"",PaymentSchedule3[[#This Row],[BEGINNING BALANCE]]*(InterestRate/PaymentsPerYear),"")</f>
        <v>735.48228822627129</v>
      </c>
      <c r="J162" s="7">
        <f>IF(PaymentSchedule3[[#This Row],[PMT NO]]&lt;&gt;"",IF(PaymentSchedule3[[#This Row],[SCHEDULED PAYMENT]]+PaymentSchedule3[[#This Row],[EXTRA PAYMENT]]&lt;=PaymentSchedule3[[#This Row],[BEGINNING BALANCE]],PaymentSchedule3[[#This Row],[BEGINNING BALANCE]]-PaymentSchedule3[[#This Row],[PRINCIPAL]],0),"")</f>
        <v>231501.98346807671</v>
      </c>
      <c r="K162" s="7">
        <f>IF(PaymentSchedule3[[#This Row],[PMT NO]]&lt;&gt;"",SUM(INDEX([INTEREST],1,1):PaymentSchedule3[[#This Row],[INTEREST]]),"")</f>
        <v>129197.25785273757</v>
      </c>
    </row>
    <row r="163" spans="2:11">
      <c r="B163" s="4">
        <f>IF(LoanIsGood,IF(ROW()-ROW(PaymentSchedule3[[#Headers],[PMT NO]])&gt;ScheduledNumberOfPayments,"",ROW()-ROW(PaymentSchedule3[[#Headers],[PMT NO]])),"")</f>
        <v>147</v>
      </c>
      <c r="C163" s="5">
        <f>IF(PaymentSchedule3[[#This Row],[PMT NO]]&lt;&gt;"",EOMONTH(LoanStartDate,ROW(PaymentSchedule3[[#This Row],[PMT NO]])-ROW(PaymentSchedule3[[#Headers],[PMT NO]])-2)+DAY(LoanStartDate),"")</f>
        <v>48519</v>
      </c>
      <c r="D163" s="7">
        <f>IF(PaymentSchedule3[[#This Row],[PMT NO]]&lt;&gt;"",IF(ROW()-ROW(PaymentSchedule3[[#Headers],[BEGINNING BALANCE]])=1,LoanAmount,INDEX([ENDING BALANCE],ROW()-ROW(PaymentSchedule3[[#Headers],[BEGINNING BALANCE]])-1)),"")</f>
        <v>231501.98346807671</v>
      </c>
      <c r="E163" s="7">
        <f>IF(PaymentSchedule3[[#This Row],[PMT NO]]&lt;&gt;"",ScheduledPayment,"")</f>
        <v>1491.0635231826082</v>
      </c>
      <c r="F16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63" s="7">
        <f>IF(PaymentSchedule3[[#This Row],[PMT NO]]&lt;&gt;"",PaymentSchedule3[[#This Row],[TOTAL PAYMENT]]-PaymentSchedule3[[#This Row],[INTEREST]],"")</f>
        <v>757.97390886703192</v>
      </c>
      <c r="I163" s="7">
        <f>IF(PaymentSchedule3[[#This Row],[PMT NO]]&lt;&gt;"",PaymentSchedule3[[#This Row],[BEGINNING BALANCE]]*(InterestRate/PaymentsPerYear),"")</f>
        <v>733.08961431557623</v>
      </c>
      <c r="J163" s="7">
        <f>IF(PaymentSchedule3[[#This Row],[PMT NO]]&lt;&gt;"",IF(PaymentSchedule3[[#This Row],[SCHEDULED PAYMENT]]+PaymentSchedule3[[#This Row],[EXTRA PAYMENT]]&lt;=PaymentSchedule3[[#This Row],[BEGINNING BALANCE]],PaymentSchedule3[[#This Row],[BEGINNING BALANCE]]-PaymentSchedule3[[#This Row],[PRINCIPAL]],0),"")</f>
        <v>230744.00955920969</v>
      </c>
      <c r="K163" s="7">
        <f>IF(PaymentSchedule3[[#This Row],[PMT NO]]&lt;&gt;"",SUM(INDEX([INTEREST],1,1):PaymentSchedule3[[#This Row],[INTEREST]]),"")</f>
        <v>129930.34746705314</v>
      </c>
    </row>
    <row r="164" spans="2:11">
      <c r="B164" s="4">
        <f>IF(LoanIsGood,IF(ROW()-ROW(PaymentSchedule3[[#Headers],[PMT NO]])&gt;ScheduledNumberOfPayments,"",ROW()-ROW(PaymentSchedule3[[#Headers],[PMT NO]])),"")</f>
        <v>148</v>
      </c>
      <c r="C164" s="5">
        <f>IF(PaymentSchedule3[[#This Row],[PMT NO]]&lt;&gt;"",EOMONTH(LoanStartDate,ROW(PaymentSchedule3[[#This Row],[PMT NO]])-ROW(PaymentSchedule3[[#Headers],[PMT NO]])-2)+DAY(LoanStartDate),"")</f>
        <v>48549</v>
      </c>
      <c r="D164" s="7">
        <f>IF(PaymentSchedule3[[#This Row],[PMT NO]]&lt;&gt;"",IF(ROW()-ROW(PaymentSchedule3[[#Headers],[BEGINNING BALANCE]])=1,LoanAmount,INDEX([ENDING BALANCE],ROW()-ROW(PaymentSchedule3[[#Headers],[BEGINNING BALANCE]])-1)),"")</f>
        <v>230744.00955920969</v>
      </c>
      <c r="E164" s="7">
        <f>IF(PaymentSchedule3[[#This Row],[PMT NO]]&lt;&gt;"",ScheduledPayment,"")</f>
        <v>1491.0635231826082</v>
      </c>
      <c r="F16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64" s="7">
        <f>IF(PaymentSchedule3[[#This Row],[PMT NO]]&lt;&gt;"",PaymentSchedule3[[#This Row],[TOTAL PAYMENT]]-PaymentSchedule3[[#This Row],[INTEREST]],"")</f>
        <v>760.37415957844416</v>
      </c>
      <c r="I164" s="7">
        <f>IF(PaymentSchedule3[[#This Row],[PMT NO]]&lt;&gt;"",PaymentSchedule3[[#This Row],[BEGINNING BALANCE]]*(InterestRate/PaymentsPerYear),"")</f>
        <v>730.68936360416399</v>
      </c>
      <c r="J164" s="7">
        <f>IF(PaymentSchedule3[[#This Row],[PMT NO]]&lt;&gt;"",IF(PaymentSchedule3[[#This Row],[SCHEDULED PAYMENT]]+PaymentSchedule3[[#This Row],[EXTRA PAYMENT]]&lt;=PaymentSchedule3[[#This Row],[BEGINNING BALANCE]],PaymentSchedule3[[#This Row],[BEGINNING BALANCE]]-PaymentSchedule3[[#This Row],[PRINCIPAL]],0),"")</f>
        <v>229983.63539963125</v>
      </c>
      <c r="K164" s="7">
        <f>IF(PaymentSchedule3[[#This Row],[PMT NO]]&lt;&gt;"",SUM(INDEX([INTEREST],1,1):PaymentSchedule3[[#This Row],[INTEREST]]),"")</f>
        <v>130661.03683065731</v>
      </c>
    </row>
    <row r="165" spans="2:11">
      <c r="B165" s="4">
        <f>IF(LoanIsGood,IF(ROW()-ROW(PaymentSchedule3[[#Headers],[PMT NO]])&gt;ScheduledNumberOfPayments,"",ROW()-ROW(PaymentSchedule3[[#Headers],[PMT NO]])),"")</f>
        <v>149</v>
      </c>
      <c r="C165" s="5">
        <f>IF(PaymentSchedule3[[#This Row],[PMT NO]]&lt;&gt;"",EOMONTH(LoanStartDate,ROW(PaymentSchedule3[[#This Row],[PMT NO]])-ROW(PaymentSchedule3[[#Headers],[PMT NO]])-2)+DAY(LoanStartDate),"")</f>
        <v>48580</v>
      </c>
      <c r="D165" s="7">
        <f>IF(PaymentSchedule3[[#This Row],[PMT NO]]&lt;&gt;"",IF(ROW()-ROW(PaymentSchedule3[[#Headers],[BEGINNING BALANCE]])=1,LoanAmount,INDEX([ENDING BALANCE],ROW()-ROW(PaymentSchedule3[[#Headers],[BEGINNING BALANCE]])-1)),"")</f>
        <v>229983.63539963125</v>
      </c>
      <c r="E165" s="7">
        <f>IF(PaymentSchedule3[[#This Row],[PMT NO]]&lt;&gt;"",ScheduledPayment,"")</f>
        <v>1491.0635231826082</v>
      </c>
      <c r="F16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65" s="7">
        <f>IF(PaymentSchedule3[[#This Row],[PMT NO]]&lt;&gt;"",PaymentSchedule3[[#This Row],[TOTAL PAYMENT]]-PaymentSchedule3[[#This Row],[INTEREST]],"")</f>
        <v>762.78201108377584</v>
      </c>
      <c r="I165" s="7">
        <f>IF(PaymentSchedule3[[#This Row],[PMT NO]]&lt;&gt;"",PaymentSchedule3[[#This Row],[BEGINNING BALANCE]]*(InterestRate/PaymentsPerYear),"")</f>
        <v>728.28151209883231</v>
      </c>
      <c r="J165" s="7">
        <f>IF(PaymentSchedule3[[#This Row],[PMT NO]]&lt;&gt;"",IF(PaymentSchedule3[[#This Row],[SCHEDULED PAYMENT]]+PaymentSchedule3[[#This Row],[EXTRA PAYMENT]]&lt;=PaymentSchedule3[[#This Row],[BEGINNING BALANCE]],PaymentSchedule3[[#This Row],[BEGINNING BALANCE]]-PaymentSchedule3[[#This Row],[PRINCIPAL]],0),"")</f>
        <v>229220.85338854749</v>
      </c>
      <c r="K165" s="7">
        <f>IF(PaymentSchedule3[[#This Row],[PMT NO]]&lt;&gt;"",SUM(INDEX([INTEREST],1,1):PaymentSchedule3[[#This Row],[INTEREST]]),"")</f>
        <v>131389.31834275613</v>
      </c>
    </row>
    <row r="166" spans="2:11">
      <c r="B166" s="4">
        <f>IF(LoanIsGood,IF(ROW()-ROW(PaymentSchedule3[[#Headers],[PMT NO]])&gt;ScheduledNumberOfPayments,"",ROW()-ROW(PaymentSchedule3[[#Headers],[PMT NO]])),"")</f>
        <v>150</v>
      </c>
      <c r="C166" s="5">
        <f>IF(PaymentSchedule3[[#This Row],[PMT NO]]&lt;&gt;"",EOMONTH(LoanStartDate,ROW(PaymentSchedule3[[#This Row],[PMT NO]])-ROW(PaymentSchedule3[[#Headers],[PMT NO]])-2)+DAY(LoanStartDate),"")</f>
        <v>48611</v>
      </c>
      <c r="D166" s="7">
        <f>IF(PaymentSchedule3[[#This Row],[PMT NO]]&lt;&gt;"",IF(ROW()-ROW(PaymentSchedule3[[#Headers],[BEGINNING BALANCE]])=1,LoanAmount,INDEX([ENDING BALANCE],ROW()-ROW(PaymentSchedule3[[#Headers],[BEGINNING BALANCE]])-1)),"")</f>
        <v>229220.85338854749</v>
      </c>
      <c r="E166" s="7">
        <f>IF(PaymentSchedule3[[#This Row],[PMT NO]]&lt;&gt;"",ScheduledPayment,"")</f>
        <v>1491.0635231826082</v>
      </c>
      <c r="F16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66" s="7">
        <f>IF(PaymentSchedule3[[#This Row],[PMT NO]]&lt;&gt;"",PaymentSchedule3[[#This Row],[TOTAL PAYMENT]]-PaymentSchedule3[[#This Row],[INTEREST]],"")</f>
        <v>765.19748745220784</v>
      </c>
      <c r="I166" s="7">
        <f>IF(PaymentSchedule3[[#This Row],[PMT NO]]&lt;&gt;"",PaymentSchedule3[[#This Row],[BEGINNING BALANCE]]*(InterestRate/PaymentsPerYear),"")</f>
        <v>725.86603573040031</v>
      </c>
      <c r="J166" s="7">
        <f>IF(PaymentSchedule3[[#This Row],[PMT NO]]&lt;&gt;"",IF(PaymentSchedule3[[#This Row],[SCHEDULED PAYMENT]]+PaymentSchedule3[[#This Row],[EXTRA PAYMENT]]&lt;=PaymentSchedule3[[#This Row],[BEGINNING BALANCE]],PaymentSchedule3[[#This Row],[BEGINNING BALANCE]]-PaymentSchedule3[[#This Row],[PRINCIPAL]],0),"")</f>
        <v>228455.65590109528</v>
      </c>
      <c r="K166" s="7">
        <f>IF(PaymentSchedule3[[#This Row],[PMT NO]]&lt;&gt;"",SUM(INDEX([INTEREST],1,1):PaymentSchedule3[[#This Row],[INTEREST]]),"")</f>
        <v>132115.18437848653</v>
      </c>
    </row>
    <row r="167" spans="2:11">
      <c r="B167" s="4">
        <f>IF(LoanIsGood,IF(ROW()-ROW(PaymentSchedule3[[#Headers],[PMT NO]])&gt;ScheduledNumberOfPayments,"",ROW()-ROW(PaymentSchedule3[[#Headers],[PMT NO]])),"")</f>
        <v>151</v>
      </c>
      <c r="C167" s="5">
        <f>IF(PaymentSchedule3[[#This Row],[PMT NO]]&lt;&gt;"",EOMONTH(LoanStartDate,ROW(PaymentSchedule3[[#This Row],[PMT NO]])-ROW(PaymentSchedule3[[#Headers],[PMT NO]])-2)+DAY(LoanStartDate),"")</f>
        <v>48639</v>
      </c>
      <c r="D167" s="7">
        <f>IF(PaymentSchedule3[[#This Row],[PMT NO]]&lt;&gt;"",IF(ROW()-ROW(PaymentSchedule3[[#Headers],[BEGINNING BALANCE]])=1,LoanAmount,INDEX([ENDING BALANCE],ROW()-ROW(PaymentSchedule3[[#Headers],[BEGINNING BALANCE]])-1)),"")</f>
        <v>228455.65590109528</v>
      </c>
      <c r="E167" s="7">
        <f>IF(PaymentSchedule3[[#This Row],[PMT NO]]&lt;&gt;"",ScheduledPayment,"")</f>
        <v>1491.0635231826082</v>
      </c>
      <c r="F16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67" s="7">
        <f>IF(PaymentSchedule3[[#This Row],[PMT NO]]&lt;&gt;"",PaymentSchedule3[[#This Row],[TOTAL PAYMENT]]-PaymentSchedule3[[#This Row],[INTEREST]],"")</f>
        <v>767.62061282913976</v>
      </c>
      <c r="I167" s="7">
        <f>IF(PaymentSchedule3[[#This Row],[PMT NO]]&lt;&gt;"",PaymentSchedule3[[#This Row],[BEGINNING BALANCE]]*(InterestRate/PaymentsPerYear),"")</f>
        <v>723.44291035346839</v>
      </c>
      <c r="J167" s="7">
        <f>IF(PaymentSchedule3[[#This Row],[PMT NO]]&lt;&gt;"",IF(PaymentSchedule3[[#This Row],[SCHEDULED PAYMENT]]+PaymentSchedule3[[#This Row],[EXTRA PAYMENT]]&lt;=PaymentSchedule3[[#This Row],[BEGINNING BALANCE]],PaymentSchedule3[[#This Row],[BEGINNING BALANCE]]-PaymentSchedule3[[#This Row],[PRINCIPAL]],0),"")</f>
        <v>227688.03528826614</v>
      </c>
      <c r="K167" s="7">
        <f>IF(PaymentSchedule3[[#This Row],[PMT NO]]&lt;&gt;"",SUM(INDEX([INTEREST],1,1):PaymentSchedule3[[#This Row],[INTEREST]]),"")</f>
        <v>132838.62728884001</v>
      </c>
    </row>
    <row r="168" spans="2:11">
      <c r="B168" s="4">
        <f>IF(LoanIsGood,IF(ROW()-ROW(PaymentSchedule3[[#Headers],[PMT NO]])&gt;ScheduledNumberOfPayments,"",ROW()-ROW(PaymentSchedule3[[#Headers],[PMT NO]])),"")</f>
        <v>152</v>
      </c>
      <c r="C168" s="5">
        <f>IF(PaymentSchedule3[[#This Row],[PMT NO]]&lt;&gt;"",EOMONTH(LoanStartDate,ROW(PaymentSchedule3[[#This Row],[PMT NO]])-ROW(PaymentSchedule3[[#Headers],[PMT NO]])-2)+DAY(LoanStartDate),"")</f>
        <v>48670</v>
      </c>
      <c r="D168" s="7">
        <f>IF(PaymentSchedule3[[#This Row],[PMT NO]]&lt;&gt;"",IF(ROW()-ROW(PaymentSchedule3[[#Headers],[BEGINNING BALANCE]])=1,LoanAmount,INDEX([ENDING BALANCE],ROW()-ROW(PaymentSchedule3[[#Headers],[BEGINNING BALANCE]])-1)),"")</f>
        <v>227688.03528826614</v>
      </c>
      <c r="E168" s="7">
        <f>IF(PaymentSchedule3[[#This Row],[PMT NO]]&lt;&gt;"",ScheduledPayment,"")</f>
        <v>1491.0635231826082</v>
      </c>
      <c r="F16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68" s="7">
        <f>IF(PaymentSchedule3[[#This Row],[PMT NO]]&lt;&gt;"",PaymentSchedule3[[#This Row],[TOTAL PAYMENT]]-PaymentSchedule3[[#This Row],[INTEREST]],"")</f>
        <v>770.05141143643209</v>
      </c>
      <c r="I168" s="7">
        <f>IF(PaymentSchedule3[[#This Row],[PMT NO]]&lt;&gt;"",PaymentSchedule3[[#This Row],[BEGINNING BALANCE]]*(InterestRate/PaymentsPerYear),"")</f>
        <v>721.01211174617606</v>
      </c>
      <c r="J168" s="7">
        <f>IF(PaymentSchedule3[[#This Row],[PMT NO]]&lt;&gt;"",IF(PaymentSchedule3[[#This Row],[SCHEDULED PAYMENT]]+PaymentSchedule3[[#This Row],[EXTRA PAYMENT]]&lt;=PaymentSchedule3[[#This Row],[BEGINNING BALANCE]],PaymentSchedule3[[#This Row],[BEGINNING BALANCE]]-PaymentSchedule3[[#This Row],[PRINCIPAL]],0),"")</f>
        <v>226917.9838768297</v>
      </c>
      <c r="K168" s="7">
        <f>IF(PaymentSchedule3[[#This Row],[PMT NO]]&lt;&gt;"",SUM(INDEX([INTEREST],1,1):PaymentSchedule3[[#This Row],[INTEREST]]),"")</f>
        <v>133559.63940058619</v>
      </c>
    </row>
    <row r="169" spans="2:11">
      <c r="B169" s="4">
        <f>IF(LoanIsGood,IF(ROW()-ROW(PaymentSchedule3[[#Headers],[PMT NO]])&gt;ScheduledNumberOfPayments,"",ROW()-ROW(PaymentSchedule3[[#Headers],[PMT NO]])),"")</f>
        <v>153</v>
      </c>
      <c r="C169" s="5">
        <f>IF(PaymentSchedule3[[#This Row],[PMT NO]]&lt;&gt;"",EOMONTH(LoanStartDate,ROW(PaymentSchedule3[[#This Row],[PMT NO]])-ROW(PaymentSchedule3[[#Headers],[PMT NO]])-2)+DAY(LoanStartDate),"")</f>
        <v>48700</v>
      </c>
      <c r="D169" s="7">
        <f>IF(PaymentSchedule3[[#This Row],[PMT NO]]&lt;&gt;"",IF(ROW()-ROW(PaymentSchedule3[[#Headers],[BEGINNING BALANCE]])=1,LoanAmount,INDEX([ENDING BALANCE],ROW()-ROW(PaymentSchedule3[[#Headers],[BEGINNING BALANCE]])-1)),"")</f>
        <v>226917.9838768297</v>
      </c>
      <c r="E169" s="7">
        <f>IF(PaymentSchedule3[[#This Row],[PMT NO]]&lt;&gt;"",ScheduledPayment,"")</f>
        <v>1491.0635231826082</v>
      </c>
      <c r="F16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69" s="7">
        <f>IF(PaymentSchedule3[[#This Row],[PMT NO]]&lt;&gt;"",PaymentSchedule3[[#This Row],[TOTAL PAYMENT]]-PaymentSchedule3[[#This Row],[INTEREST]],"")</f>
        <v>772.48990757264744</v>
      </c>
      <c r="I169" s="7">
        <f>IF(PaymentSchedule3[[#This Row],[PMT NO]]&lt;&gt;"",PaymentSchedule3[[#This Row],[BEGINNING BALANCE]]*(InterestRate/PaymentsPerYear),"")</f>
        <v>718.57361560996071</v>
      </c>
      <c r="J169" s="7">
        <f>IF(PaymentSchedule3[[#This Row],[PMT NO]]&lt;&gt;"",IF(PaymentSchedule3[[#This Row],[SCHEDULED PAYMENT]]+PaymentSchedule3[[#This Row],[EXTRA PAYMENT]]&lt;=PaymentSchedule3[[#This Row],[BEGINNING BALANCE]],PaymentSchedule3[[#This Row],[BEGINNING BALANCE]]-PaymentSchedule3[[#This Row],[PRINCIPAL]],0),"")</f>
        <v>226145.49396925705</v>
      </c>
      <c r="K169" s="7">
        <f>IF(PaymentSchedule3[[#This Row],[PMT NO]]&lt;&gt;"",SUM(INDEX([INTEREST],1,1):PaymentSchedule3[[#This Row],[INTEREST]]),"")</f>
        <v>134278.21301619615</v>
      </c>
    </row>
    <row r="170" spans="2:11">
      <c r="B170" s="4">
        <f>IF(LoanIsGood,IF(ROW()-ROW(PaymentSchedule3[[#Headers],[PMT NO]])&gt;ScheduledNumberOfPayments,"",ROW()-ROW(PaymentSchedule3[[#Headers],[PMT NO]])),"")</f>
        <v>154</v>
      </c>
      <c r="C170" s="5">
        <f>IF(PaymentSchedule3[[#This Row],[PMT NO]]&lt;&gt;"",EOMONTH(LoanStartDate,ROW(PaymentSchedule3[[#This Row],[PMT NO]])-ROW(PaymentSchedule3[[#Headers],[PMT NO]])-2)+DAY(LoanStartDate),"")</f>
        <v>48731</v>
      </c>
      <c r="D170" s="7">
        <f>IF(PaymentSchedule3[[#This Row],[PMT NO]]&lt;&gt;"",IF(ROW()-ROW(PaymentSchedule3[[#Headers],[BEGINNING BALANCE]])=1,LoanAmount,INDEX([ENDING BALANCE],ROW()-ROW(PaymentSchedule3[[#Headers],[BEGINNING BALANCE]])-1)),"")</f>
        <v>226145.49396925705</v>
      </c>
      <c r="E170" s="7">
        <f>IF(PaymentSchedule3[[#This Row],[PMT NO]]&lt;&gt;"",ScheduledPayment,"")</f>
        <v>1491.0635231826082</v>
      </c>
      <c r="F17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0" s="7">
        <f>IF(PaymentSchedule3[[#This Row],[PMT NO]]&lt;&gt;"",PaymentSchedule3[[#This Row],[TOTAL PAYMENT]]-PaymentSchedule3[[#This Row],[INTEREST]],"")</f>
        <v>774.93612561329417</v>
      </c>
      <c r="I170" s="7">
        <f>IF(PaymentSchedule3[[#This Row],[PMT NO]]&lt;&gt;"",PaymentSchedule3[[#This Row],[BEGINNING BALANCE]]*(InterestRate/PaymentsPerYear),"")</f>
        <v>716.12739756931398</v>
      </c>
      <c r="J170" s="7">
        <f>IF(PaymentSchedule3[[#This Row],[PMT NO]]&lt;&gt;"",IF(PaymentSchedule3[[#This Row],[SCHEDULED PAYMENT]]+PaymentSchedule3[[#This Row],[EXTRA PAYMENT]]&lt;=PaymentSchedule3[[#This Row],[BEGINNING BALANCE]],PaymentSchedule3[[#This Row],[BEGINNING BALANCE]]-PaymentSchedule3[[#This Row],[PRINCIPAL]],0),"")</f>
        <v>225370.55784364376</v>
      </c>
      <c r="K170" s="7">
        <f>IF(PaymentSchedule3[[#This Row],[PMT NO]]&lt;&gt;"",SUM(INDEX([INTEREST],1,1):PaymentSchedule3[[#This Row],[INTEREST]]),"")</f>
        <v>134994.34041376546</v>
      </c>
    </row>
    <row r="171" spans="2:11">
      <c r="B171" s="4">
        <f>IF(LoanIsGood,IF(ROW()-ROW(PaymentSchedule3[[#Headers],[PMT NO]])&gt;ScheduledNumberOfPayments,"",ROW()-ROW(PaymentSchedule3[[#Headers],[PMT NO]])),"")</f>
        <v>155</v>
      </c>
      <c r="C171" s="5">
        <f>IF(PaymentSchedule3[[#This Row],[PMT NO]]&lt;&gt;"",EOMONTH(LoanStartDate,ROW(PaymentSchedule3[[#This Row],[PMT NO]])-ROW(PaymentSchedule3[[#Headers],[PMT NO]])-2)+DAY(LoanStartDate),"")</f>
        <v>48761</v>
      </c>
      <c r="D171" s="7">
        <f>IF(PaymentSchedule3[[#This Row],[PMT NO]]&lt;&gt;"",IF(ROW()-ROW(PaymentSchedule3[[#Headers],[BEGINNING BALANCE]])=1,LoanAmount,INDEX([ENDING BALANCE],ROW()-ROW(PaymentSchedule3[[#Headers],[BEGINNING BALANCE]])-1)),"")</f>
        <v>225370.55784364376</v>
      </c>
      <c r="E171" s="7">
        <f>IF(PaymentSchedule3[[#This Row],[PMT NO]]&lt;&gt;"",ScheduledPayment,"")</f>
        <v>1491.0635231826082</v>
      </c>
      <c r="F17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1" s="7">
        <f>IF(PaymentSchedule3[[#This Row],[PMT NO]]&lt;&gt;"",PaymentSchedule3[[#This Row],[TOTAL PAYMENT]]-PaymentSchedule3[[#This Row],[INTEREST]],"")</f>
        <v>777.39009001106956</v>
      </c>
      <c r="I171" s="7">
        <f>IF(PaymentSchedule3[[#This Row],[PMT NO]]&lt;&gt;"",PaymentSchedule3[[#This Row],[BEGINNING BALANCE]]*(InterestRate/PaymentsPerYear),"")</f>
        <v>713.67343317153859</v>
      </c>
      <c r="J171" s="7">
        <f>IF(PaymentSchedule3[[#This Row],[PMT NO]]&lt;&gt;"",IF(PaymentSchedule3[[#This Row],[SCHEDULED PAYMENT]]+PaymentSchedule3[[#This Row],[EXTRA PAYMENT]]&lt;=PaymentSchedule3[[#This Row],[BEGINNING BALANCE]],PaymentSchedule3[[#This Row],[BEGINNING BALANCE]]-PaymentSchedule3[[#This Row],[PRINCIPAL]],0),"")</f>
        <v>224593.1677536327</v>
      </c>
      <c r="K171" s="7">
        <f>IF(PaymentSchedule3[[#This Row],[PMT NO]]&lt;&gt;"",SUM(INDEX([INTEREST],1,1):PaymentSchedule3[[#This Row],[INTEREST]]),"")</f>
        <v>135708.01384693698</v>
      </c>
    </row>
    <row r="172" spans="2:11">
      <c r="B172" s="4">
        <f>IF(LoanIsGood,IF(ROW()-ROW(PaymentSchedule3[[#Headers],[PMT NO]])&gt;ScheduledNumberOfPayments,"",ROW()-ROW(PaymentSchedule3[[#Headers],[PMT NO]])),"")</f>
        <v>156</v>
      </c>
      <c r="C172" s="5">
        <f>IF(PaymentSchedule3[[#This Row],[PMT NO]]&lt;&gt;"",EOMONTH(LoanStartDate,ROW(PaymentSchedule3[[#This Row],[PMT NO]])-ROW(PaymentSchedule3[[#Headers],[PMT NO]])-2)+DAY(LoanStartDate),"")</f>
        <v>48792</v>
      </c>
      <c r="D172" s="7">
        <f>IF(PaymentSchedule3[[#This Row],[PMT NO]]&lt;&gt;"",IF(ROW()-ROW(PaymentSchedule3[[#Headers],[BEGINNING BALANCE]])=1,LoanAmount,INDEX([ENDING BALANCE],ROW()-ROW(PaymentSchedule3[[#Headers],[BEGINNING BALANCE]])-1)),"")</f>
        <v>224593.1677536327</v>
      </c>
      <c r="E172" s="7">
        <f>IF(PaymentSchedule3[[#This Row],[PMT NO]]&lt;&gt;"",ScheduledPayment,"")</f>
        <v>1491.0635231826082</v>
      </c>
      <c r="F17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2" s="7">
        <f>IF(PaymentSchedule3[[#This Row],[PMT NO]]&lt;&gt;"",PaymentSchedule3[[#This Row],[TOTAL PAYMENT]]-PaymentSchedule3[[#This Row],[INTEREST]],"")</f>
        <v>779.85182529610461</v>
      </c>
      <c r="I172" s="7">
        <f>IF(PaymentSchedule3[[#This Row],[PMT NO]]&lt;&gt;"",PaymentSchedule3[[#This Row],[BEGINNING BALANCE]]*(InterestRate/PaymentsPerYear),"")</f>
        <v>711.21169788650354</v>
      </c>
      <c r="J172" s="7">
        <f>IF(PaymentSchedule3[[#This Row],[PMT NO]]&lt;&gt;"",IF(PaymentSchedule3[[#This Row],[SCHEDULED PAYMENT]]+PaymentSchedule3[[#This Row],[EXTRA PAYMENT]]&lt;=PaymentSchedule3[[#This Row],[BEGINNING BALANCE]],PaymentSchedule3[[#This Row],[BEGINNING BALANCE]]-PaymentSchedule3[[#This Row],[PRINCIPAL]],0),"")</f>
        <v>223813.31592833661</v>
      </c>
      <c r="K172" s="7">
        <f>IF(PaymentSchedule3[[#This Row],[PMT NO]]&lt;&gt;"",SUM(INDEX([INTEREST],1,1):PaymentSchedule3[[#This Row],[INTEREST]]),"")</f>
        <v>136419.22554482348</v>
      </c>
    </row>
    <row r="173" spans="2:11">
      <c r="B173" s="4">
        <f>IF(LoanIsGood,IF(ROW()-ROW(PaymentSchedule3[[#Headers],[PMT NO]])&gt;ScheduledNumberOfPayments,"",ROW()-ROW(PaymentSchedule3[[#Headers],[PMT NO]])),"")</f>
        <v>157</v>
      </c>
      <c r="C173" s="5">
        <f>IF(PaymentSchedule3[[#This Row],[PMT NO]]&lt;&gt;"",EOMONTH(LoanStartDate,ROW(PaymentSchedule3[[#This Row],[PMT NO]])-ROW(PaymentSchedule3[[#Headers],[PMT NO]])-2)+DAY(LoanStartDate),"")</f>
        <v>48823</v>
      </c>
      <c r="D173" s="7">
        <f>IF(PaymentSchedule3[[#This Row],[PMT NO]]&lt;&gt;"",IF(ROW()-ROW(PaymentSchedule3[[#Headers],[BEGINNING BALANCE]])=1,LoanAmount,INDEX([ENDING BALANCE],ROW()-ROW(PaymentSchedule3[[#Headers],[BEGINNING BALANCE]])-1)),"")</f>
        <v>223813.31592833661</v>
      </c>
      <c r="E173" s="7">
        <f>IF(PaymentSchedule3[[#This Row],[PMT NO]]&lt;&gt;"",ScheduledPayment,"")</f>
        <v>1491.0635231826082</v>
      </c>
      <c r="F17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3" s="7">
        <f>IF(PaymentSchedule3[[#This Row],[PMT NO]]&lt;&gt;"",PaymentSchedule3[[#This Row],[TOTAL PAYMENT]]-PaymentSchedule3[[#This Row],[INTEREST]],"")</f>
        <v>782.32135607620887</v>
      </c>
      <c r="I173" s="7">
        <f>IF(PaymentSchedule3[[#This Row],[PMT NO]]&lt;&gt;"",PaymentSchedule3[[#This Row],[BEGINNING BALANCE]]*(InterestRate/PaymentsPerYear),"")</f>
        <v>708.74216710639928</v>
      </c>
      <c r="J173" s="7">
        <f>IF(PaymentSchedule3[[#This Row],[PMT NO]]&lt;&gt;"",IF(PaymentSchedule3[[#This Row],[SCHEDULED PAYMENT]]+PaymentSchedule3[[#This Row],[EXTRA PAYMENT]]&lt;=PaymentSchedule3[[#This Row],[BEGINNING BALANCE]],PaymentSchedule3[[#This Row],[BEGINNING BALANCE]]-PaymentSchedule3[[#This Row],[PRINCIPAL]],0),"")</f>
        <v>223030.99457226039</v>
      </c>
      <c r="K173" s="7">
        <f>IF(PaymentSchedule3[[#This Row],[PMT NO]]&lt;&gt;"",SUM(INDEX([INTEREST],1,1):PaymentSchedule3[[#This Row],[INTEREST]]),"")</f>
        <v>137127.96771192987</v>
      </c>
    </row>
    <row r="174" spans="2:11">
      <c r="B174" s="4">
        <f>IF(LoanIsGood,IF(ROW()-ROW(PaymentSchedule3[[#Headers],[PMT NO]])&gt;ScheduledNumberOfPayments,"",ROW()-ROW(PaymentSchedule3[[#Headers],[PMT NO]])),"")</f>
        <v>158</v>
      </c>
      <c r="C174" s="5">
        <f>IF(PaymentSchedule3[[#This Row],[PMT NO]]&lt;&gt;"",EOMONTH(LoanStartDate,ROW(PaymentSchedule3[[#This Row],[PMT NO]])-ROW(PaymentSchedule3[[#Headers],[PMT NO]])-2)+DAY(LoanStartDate),"")</f>
        <v>48853</v>
      </c>
      <c r="D174" s="7">
        <f>IF(PaymentSchedule3[[#This Row],[PMT NO]]&lt;&gt;"",IF(ROW()-ROW(PaymentSchedule3[[#Headers],[BEGINNING BALANCE]])=1,LoanAmount,INDEX([ENDING BALANCE],ROW()-ROW(PaymentSchedule3[[#Headers],[BEGINNING BALANCE]])-1)),"")</f>
        <v>223030.99457226039</v>
      </c>
      <c r="E174" s="7">
        <f>IF(PaymentSchedule3[[#This Row],[PMT NO]]&lt;&gt;"",ScheduledPayment,"")</f>
        <v>1491.0635231826082</v>
      </c>
      <c r="F17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4" s="7">
        <f>IF(PaymentSchedule3[[#This Row],[PMT NO]]&lt;&gt;"",PaymentSchedule3[[#This Row],[TOTAL PAYMENT]]-PaymentSchedule3[[#This Row],[INTEREST]],"")</f>
        <v>784.79870703711697</v>
      </c>
      <c r="I174" s="7">
        <f>IF(PaymentSchedule3[[#This Row],[PMT NO]]&lt;&gt;"",PaymentSchedule3[[#This Row],[BEGINNING BALANCE]]*(InterestRate/PaymentsPerYear),"")</f>
        <v>706.26481614549118</v>
      </c>
      <c r="J174" s="7">
        <f>IF(PaymentSchedule3[[#This Row],[PMT NO]]&lt;&gt;"",IF(PaymentSchedule3[[#This Row],[SCHEDULED PAYMENT]]+PaymentSchedule3[[#This Row],[EXTRA PAYMENT]]&lt;=PaymentSchedule3[[#This Row],[BEGINNING BALANCE]],PaymentSchedule3[[#This Row],[BEGINNING BALANCE]]-PaymentSchedule3[[#This Row],[PRINCIPAL]],0),"")</f>
        <v>222246.19586522327</v>
      </c>
      <c r="K174" s="7">
        <f>IF(PaymentSchedule3[[#This Row],[PMT NO]]&lt;&gt;"",SUM(INDEX([INTEREST],1,1):PaymentSchedule3[[#This Row],[INTEREST]]),"")</f>
        <v>137834.23252807537</v>
      </c>
    </row>
    <row r="175" spans="2:11">
      <c r="B175" s="4">
        <f>IF(LoanIsGood,IF(ROW()-ROW(PaymentSchedule3[[#Headers],[PMT NO]])&gt;ScheduledNumberOfPayments,"",ROW()-ROW(PaymentSchedule3[[#Headers],[PMT NO]])),"")</f>
        <v>159</v>
      </c>
      <c r="C175" s="5">
        <f>IF(PaymentSchedule3[[#This Row],[PMT NO]]&lt;&gt;"",EOMONTH(LoanStartDate,ROW(PaymentSchedule3[[#This Row],[PMT NO]])-ROW(PaymentSchedule3[[#Headers],[PMT NO]])-2)+DAY(LoanStartDate),"")</f>
        <v>48884</v>
      </c>
      <c r="D175" s="7">
        <f>IF(PaymentSchedule3[[#This Row],[PMT NO]]&lt;&gt;"",IF(ROW()-ROW(PaymentSchedule3[[#Headers],[BEGINNING BALANCE]])=1,LoanAmount,INDEX([ENDING BALANCE],ROW()-ROW(PaymentSchedule3[[#Headers],[BEGINNING BALANCE]])-1)),"")</f>
        <v>222246.19586522327</v>
      </c>
      <c r="E175" s="7">
        <f>IF(PaymentSchedule3[[#This Row],[PMT NO]]&lt;&gt;"",ScheduledPayment,"")</f>
        <v>1491.0635231826082</v>
      </c>
      <c r="F17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5" s="7">
        <f>IF(PaymentSchedule3[[#This Row],[PMT NO]]&lt;&gt;"",PaymentSchedule3[[#This Row],[TOTAL PAYMENT]]-PaymentSchedule3[[#This Row],[INTEREST]],"")</f>
        <v>787.28390294273447</v>
      </c>
      <c r="I175" s="7">
        <f>IF(PaymentSchedule3[[#This Row],[PMT NO]]&lt;&gt;"",PaymentSchedule3[[#This Row],[BEGINNING BALANCE]]*(InterestRate/PaymentsPerYear),"")</f>
        <v>703.77962023987368</v>
      </c>
      <c r="J175" s="7">
        <f>IF(PaymentSchedule3[[#This Row],[PMT NO]]&lt;&gt;"",IF(PaymentSchedule3[[#This Row],[SCHEDULED PAYMENT]]+PaymentSchedule3[[#This Row],[EXTRA PAYMENT]]&lt;=PaymentSchedule3[[#This Row],[BEGINNING BALANCE]],PaymentSchedule3[[#This Row],[BEGINNING BALANCE]]-PaymentSchedule3[[#This Row],[PRINCIPAL]],0),"")</f>
        <v>221458.91196228054</v>
      </c>
      <c r="K175" s="7">
        <f>IF(PaymentSchedule3[[#This Row],[PMT NO]]&lt;&gt;"",SUM(INDEX([INTEREST],1,1):PaymentSchedule3[[#This Row],[INTEREST]]),"")</f>
        <v>138538.01214831523</v>
      </c>
    </row>
    <row r="176" spans="2:11">
      <c r="B176" s="4">
        <f>IF(LoanIsGood,IF(ROW()-ROW(PaymentSchedule3[[#Headers],[PMT NO]])&gt;ScheduledNumberOfPayments,"",ROW()-ROW(PaymentSchedule3[[#Headers],[PMT NO]])),"")</f>
        <v>160</v>
      </c>
      <c r="C176" s="5">
        <f>IF(PaymentSchedule3[[#This Row],[PMT NO]]&lt;&gt;"",EOMONTH(LoanStartDate,ROW(PaymentSchedule3[[#This Row],[PMT NO]])-ROW(PaymentSchedule3[[#Headers],[PMT NO]])-2)+DAY(LoanStartDate),"")</f>
        <v>48914</v>
      </c>
      <c r="D176" s="7">
        <f>IF(PaymentSchedule3[[#This Row],[PMT NO]]&lt;&gt;"",IF(ROW()-ROW(PaymentSchedule3[[#Headers],[BEGINNING BALANCE]])=1,LoanAmount,INDEX([ENDING BALANCE],ROW()-ROW(PaymentSchedule3[[#Headers],[BEGINNING BALANCE]])-1)),"")</f>
        <v>221458.91196228054</v>
      </c>
      <c r="E176" s="7">
        <f>IF(PaymentSchedule3[[#This Row],[PMT NO]]&lt;&gt;"",ScheduledPayment,"")</f>
        <v>1491.0635231826082</v>
      </c>
      <c r="F17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6" s="7">
        <f>IF(PaymentSchedule3[[#This Row],[PMT NO]]&lt;&gt;"",PaymentSchedule3[[#This Row],[TOTAL PAYMENT]]-PaymentSchedule3[[#This Row],[INTEREST]],"")</f>
        <v>789.77696863538642</v>
      </c>
      <c r="I176" s="7">
        <f>IF(PaymentSchedule3[[#This Row],[PMT NO]]&lt;&gt;"",PaymentSchedule3[[#This Row],[BEGINNING BALANCE]]*(InterestRate/PaymentsPerYear),"")</f>
        <v>701.28655454722173</v>
      </c>
      <c r="J176" s="7">
        <f>IF(PaymentSchedule3[[#This Row],[PMT NO]]&lt;&gt;"",IF(PaymentSchedule3[[#This Row],[SCHEDULED PAYMENT]]+PaymentSchedule3[[#This Row],[EXTRA PAYMENT]]&lt;=PaymentSchedule3[[#This Row],[BEGINNING BALANCE]],PaymentSchedule3[[#This Row],[BEGINNING BALANCE]]-PaymentSchedule3[[#This Row],[PRINCIPAL]],0),"")</f>
        <v>220669.13499364516</v>
      </c>
      <c r="K176" s="7">
        <f>IF(PaymentSchedule3[[#This Row],[PMT NO]]&lt;&gt;"",SUM(INDEX([INTEREST],1,1):PaymentSchedule3[[#This Row],[INTEREST]]),"")</f>
        <v>139239.29870286246</v>
      </c>
    </row>
    <row r="177" spans="2:11">
      <c r="B177" s="4">
        <f>IF(LoanIsGood,IF(ROW()-ROW(PaymentSchedule3[[#Headers],[PMT NO]])&gt;ScheduledNumberOfPayments,"",ROW()-ROW(PaymentSchedule3[[#Headers],[PMT NO]])),"")</f>
        <v>161</v>
      </c>
      <c r="C177" s="5">
        <f>IF(PaymentSchedule3[[#This Row],[PMT NO]]&lt;&gt;"",EOMONTH(LoanStartDate,ROW(PaymentSchedule3[[#This Row],[PMT NO]])-ROW(PaymentSchedule3[[#Headers],[PMT NO]])-2)+DAY(LoanStartDate),"")</f>
        <v>48945</v>
      </c>
      <c r="D177" s="7">
        <f>IF(PaymentSchedule3[[#This Row],[PMT NO]]&lt;&gt;"",IF(ROW()-ROW(PaymentSchedule3[[#Headers],[BEGINNING BALANCE]])=1,LoanAmount,INDEX([ENDING BALANCE],ROW()-ROW(PaymentSchedule3[[#Headers],[BEGINNING BALANCE]])-1)),"")</f>
        <v>220669.13499364516</v>
      </c>
      <c r="E177" s="7">
        <f>IF(PaymentSchedule3[[#This Row],[PMT NO]]&lt;&gt;"",ScheduledPayment,"")</f>
        <v>1491.0635231826082</v>
      </c>
      <c r="F17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7" s="7">
        <f>IF(PaymentSchedule3[[#This Row],[PMT NO]]&lt;&gt;"",PaymentSchedule3[[#This Row],[TOTAL PAYMENT]]-PaymentSchedule3[[#This Row],[INTEREST]],"")</f>
        <v>792.27792903606519</v>
      </c>
      <c r="I177" s="7">
        <f>IF(PaymentSchedule3[[#This Row],[PMT NO]]&lt;&gt;"",PaymentSchedule3[[#This Row],[BEGINNING BALANCE]]*(InterestRate/PaymentsPerYear),"")</f>
        <v>698.78559414654296</v>
      </c>
      <c r="J177" s="7">
        <f>IF(PaymentSchedule3[[#This Row],[PMT NO]]&lt;&gt;"",IF(PaymentSchedule3[[#This Row],[SCHEDULED PAYMENT]]+PaymentSchedule3[[#This Row],[EXTRA PAYMENT]]&lt;=PaymentSchedule3[[#This Row],[BEGINNING BALANCE]],PaymentSchedule3[[#This Row],[BEGINNING BALANCE]]-PaymentSchedule3[[#This Row],[PRINCIPAL]],0),"")</f>
        <v>219876.8570646091</v>
      </c>
      <c r="K177" s="7">
        <f>IF(PaymentSchedule3[[#This Row],[PMT NO]]&lt;&gt;"",SUM(INDEX([INTEREST],1,1):PaymentSchedule3[[#This Row],[INTEREST]]),"")</f>
        <v>139938.08429700902</v>
      </c>
    </row>
    <row r="178" spans="2:11">
      <c r="B178" s="4">
        <f>IF(LoanIsGood,IF(ROW()-ROW(PaymentSchedule3[[#Headers],[PMT NO]])&gt;ScheduledNumberOfPayments,"",ROW()-ROW(PaymentSchedule3[[#Headers],[PMT NO]])),"")</f>
        <v>162</v>
      </c>
      <c r="C178" s="5">
        <f>IF(PaymentSchedule3[[#This Row],[PMT NO]]&lt;&gt;"",EOMONTH(LoanStartDate,ROW(PaymentSchedule3[[#This Row],[PMT NO]])-ROW(PaymentSchedule3[[#Headers],[PMT NO]])-2)+DAY(LoanStartDate),"")</f>
        <v>48976</v>
      </c>
      <c r="D178" s="7">
        <f>IF(PaymentSchedule3[[#This Row],[PMT NO]]&lt;&gt;"",IF(ROW()-ROW(PaymentSchedule3[[#Headers],[BEGINNING BALANCE]])=1,LoanAmount,INDEX([ENDING BALANCE],ROW()-ROW(PaymentSchedule3[[#Headers],[BEGINNING BALANCE]])-1)),"")</f>
        <v>219876.8570646091</v>
      </c>
      <c r="E178" s="7">
        <f>IF(PaymentSchedule3[[#This Row],[PMT NO]]&lt;&gt;"",ScheduledPayment,"")</f>
        <v>1491.0635231826082</v>
      </c>
      <c r="F17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8" s="7">
        <f>IF(PaymentSchedule3[[#This Row],[PMT NO]]&lt;&gt;"",PaymentSchedule3[[#This Row],[TOTAL PAYMENT]]-PaymentSchedule3[[#This Row],[INTEREST]],"")</f>
        <v>794.78680914467941</v>
      </c>
      <c r="I178" s="7">
        <f>IF(PaymentSchedule3[[#This Row],[PMT NO]]&lt;&gt;"",PaymentSchedule3[[#This Row],[BEGINNING BALANCE]]*(InterestRate/PaymentsPerYear),"")</f>
        <v>696.27671403792874</v>
      </c>
      <c r="J178" s="7">
        <f>IF(PaymentSchedule3[[#This Row],[PMT NO]]&lt;&gt;"",IF(PaymentSchedule3[[#This Row],[SCHEDULED PAYMENT]]+PaymentSchedule3[[#This Row],[EXTRA PAYMENT]]&lt;=PaymentSchedule3[[#This Row],[BEGINNING BALANCE]],PaymentSchedule3[[#This Row],[BEGINNING BALANCE]]-PaymentSchedule3[[#This Row],[PRINCIPAL]],0),"")</f>
        <v>219082.07025546441</v>
      </c>
      <c r="K178" s="7">
        <f>IF(PaymentSchedule3[[#This Row],[PMT NO]]&lt;&gt;"",SUM(INDEX([INTEREST],1,1):PaymentSchedule3[[#This Row],[INTEREST]]),"")</f>
        <v>140634.36101104695</v>
      </c>
    </row>
    <row r="179" spans="2:11">
      <c r="B179" s="4">
        <f>IF(LoanIsGood,IF(ROW()-ROW(PaymentSchedule3[[#Headers],[PMT NO]])&gt;ScheduledNumberOfPayments,"",ROW()-ROW(PaymentSchedule3[[#Headers],[PMT NO]])),"")</f>
        <v>163</v>
      </c>
      <c r="C179" s="5">
        <f>IF(PaymentSchedule3[[#This Row],[PMT NO]]&lt;&gt;"",EOMONTH(LoanStartDate,ROW(PaymentSchedule3[[#This Row],[PMT NO]])-ROW(PaymentSchedule3[[#Headers],[PMT NO]])-2)+DAY(LoanStartDate),"")</f>
        <v>49004</v>
      </c>
      <c r="D179" s="7">
        <f>IF(PaymentSchedule3[[#This Row],[PMT NO]]&lt;&gt;"",IF(ROW()-ROW(PaymentSchedule3[[#Headers],[BEGINNING BALANCE]])=1,LoanAmount,INDEX([ENDING BALANCE],ROW()-ROW(PaymentSchedule3[[#Headers],[BEGINNING BALANCE]])-1)),"")</f>
        <v>219082.07025546441</v>
      </c>
      <c r="E179" s="7">
        <f>IF(PaymentSchedule3[[#This Row],[PMT NO]]&lt;&gt;"",ScheduledPayment,"")</f>
        <v>1491.0635231826082</v>
      </c>
      <c r="F17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79" s="7">
        <f>IF(PaymentSchedule3[[#This Row],[PMT NO]]&lt;&gt;"",PaymentSchedule3[[#This Row],[TOTAL PAYMENT]]-PaymentSchedule3[[#This Row],[INTEREST]],"")</f>
        <v>797.30363404030425</v>
      </c>
      <c r="I179" s="7">
        <f>IF(PaymentSchedule3[[#This Row],[PMT NO]]&lt;&gt;"",PaymentSchedule3[[#This Row],[BEGINNING BALANCE]]*(InterestRate/PaymentsPerYear),"")</f>
        <v>693.7598891423039</v>
      </c>
      <c r="J179" s="7">
        <f>IF(PaymentSchedule3[[#This Row],[PMT NO]]&lt;&gt;"",IF(PaymentSchedule3[[#This Row],[SCHEDULED PAYMENT]]+PaymentSchedule3[[#This Row],[EXTRA PAYMENT]]&lt;=PaymentSchedule3[[#This Row],[BEGINNING BALANCE]],PaymentSchedule3[[#This Row],[BEGINNING BALANCE]]-PaymentSchedule3[[#This Row],[PRINCIPAL]],0),"")</f>
        <v>218284.76662142412</v>
      </c>
      <c r="K179" s="7">
        <f>IF(PaymentSchedule3[[#This Row],[PMT NO]]&lt;&gt;"",SUM(INDEX([INTEREST],1,1):PaymentSchedule3[[#This Row],[INTEREST]]),"")</f>
        <v>141328.12090018924</v>
      </c>
    </row>
    <row r="180" spans="2:11">
      <c r="B180" s="4">
        <f>IF(LoanIsGood,IF(ROW()-ROW(PaymentSchedule3[[#Headers],[PMT NO]])&gt;ScheduledNumberOfPayments,"",ROW()-ROW(PaymentSchedule3[[#Headers],[PMT NO]])),"")</f>
        <v>164</v>
      </c>
      <c r="C180" s="5">
        <f>IF(PaymentSchedule3[[#This Row],[PMT NO]]&lt;&gt;"",EOMONTH(LoanStartDate,ROW(PaymentSchedule3[[#This Row],[PMT NO]])-ROW(PaymentSchedule3[[#Headers],[PMT NO]])-2)+DAY(LoanStartDate),"")</f>
        <v>49035</v>
      </c>
      <c r="D180" s="7">
        <f>IF(PaymentSchedule3[[#This Row],[PMT NO]]&lt;&gt;"",IF(ROW()-ROW(PaymentSchedule3[[#Headers],[BEGINNING BALANCE]])=1,LoanAmount,INDEX([ENDING BALANCE],ROW()-ROW(PaymentSchedule3[[#Headers],[BEGINNING BALANCE]])-1)),"")</f>
        <v>218284.76662142412</v>
      </c>
      <c r="E180" s="7">
        <f>IF(PaymentSchedule3[[#This Row],[PMT NO]]&lt;&gt;"",ScheduledPayment,"")</f>
        <v>1491.0635231826082</v>
      </c>
      <c r="F18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0" s="7">
        <f>IF(PaymentSchedule3[[#This Row],[PMT NO]]&lt;&gt;"",PaymentSchedule3[[#This Row],[TOTAL PAYMENT]]-PaymentSchedule3[[#This Row],[INTEREST]],"")</f>
        <v>799.82842888143182</v>
      </c>
      <c r="I180" s="7">
        <f>IF(PaymentSchedule3[[#This Row],[PMT NO]]&lt;&gt;"",PaymentSchedule3[[#This Row],[BEGINNING BALANCE]]*(InterestRate/PaymentsPerYear),"")</f>
        <v>691.23509430117633</v>
      </c>
      <c r="J180" s="7">
        <f>IF(PaymentSchedule3[[#This Row],[PMT NO]]&lt;&gt;"",IF(PaymentSchedule3[[#This Row],[SCHEDULED PAYMENT]]+PaymentSchedule3[[#This Row],[EXTRA PAYMENT]]&lt;=PaymentSchedule3[[#This Row],[BEGINNING BALANCE]],PaymentSchedule3[[#This Row],[BEGINNING BALANCE]]-PaymentSchedule3[[#This Row],[PRINCIPAL]],0),"")</f>
        <v>217484.9381925427</v>
      </c>
      <c r="K180" s="7">
        <f>IF(PaymentSchedule3[[#This Row],[PMT NO]]&lt;&gt;"",SUM(INDEX([INTEREST],1,1):PaymentSchedule3[[#This Row],[INTEREST]]),"")</f>
        <v>142019.35599449041</v>
      </c>
    </row>
    <row r="181" spans="2:11">
      <c r="B181" s="4">
        <f>IF(LoanIsGood,IF(ROW()-ROW(PaymentSchedule3[[#Headers],[PMT NO]])&gt;ScheduledNumberOfPayments,"",ROW()-ROW(PaymentSchedule3[[#Headers],[PMT NO]])),"")</f>
        <v>165</v>
      </c>
      <c r="C181" s="5">
        <f>IF(PaymentSchedule3[[#This Row],[PMT NO]]&lt;&gt;"",EOMONTH(LoanStartDate,ROW(PaymentSchedule3[[#This Row],[PMT NO]])-ROW(PaymentSchedule3[[#Headers],[PMT NO]])-2)+DAY(LoanStartDate),"")</f>
        <v>49065</v>
      </c>
      <c r="D181" s="7">
        <f>IF(PaymentSchedule3[[#This Row],[PMT NO]]&lt;&gt;"",IF(ROW()-ROW(PaymentSchedule3[[#Headers],[BEGINNING BALANCE]])=1,LoanAmount,INDEX([ENDING BALANCE],ROW()-ROW(PaymentSchedule3[[#Headers],[BEGINNING BALANCE]])-1)),"")</f>
        <v>217484.9381925427</v>
      </c>
      <c r="E181" s="7">
        <f>IF(PaymentSchedule3[[#This Row],[PMT NO]]&lt;&gt;"",ScheduledPayment,"")</f>
        <v>1491.0635231826082</v>
      </c>
      <c r="F18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1" s="7">
        <f>IF(PaymentSchedule3[[#This Row],[PMT NO]]&lt;&gt;"",PaymentSchedule3[[#This Row],[TOTAL PAYMENT]]-PaymentSchedule3[[#This Row],[INTEREST]],"")</f>
        <v>802.36121890622292</v>
      </c>
      <c r="I181" s="7">
        <f>IF(PaymentSchedule3[[#This Row],[PMT NO]]&lt;&gt;"",PaymentSchedule3[[#This Row],[BEGINNING BALANCE]]*(InterestRate/PaymentsPerYear),"")</f>
        <v>688.70230427638523</v>
      </c>
      <c r="J181" s="7">
        <f>IF(PaymentSchedule3[[#This Row],[PMT NO]]&lt;&gt;"",IF(PaymentSchedule3[[#This Row],[SCHEDULED PAYMENT]]+PaymentSchedule3[[#This Row],[EXTRA PAYMENT]]&lt;=PaymentSchedule3[[#This Row],[BEGINNING BALANCE]],PaymentSchedule3[[#This Row],[BEGINNING BALANCE]]-PaymentSchedule3[[#This Row],[PRINCIPAL]],0),"")</f>
        <v>216682.57697363649</v>
      </c>
      <c r="K181" s="7">
        <f>IF(PaymentSchedule3[[#This Row],[PMT NO]]&lt;&gt;"",SUM(INDEX([INTEREST],1,1):PaymentSchedule3[[#This Row],[INTEREST]]),"")</f>
        <v>142708.05829876679</v>
      </c>
    </row>
    <row r="182" spans="2:11">
      <c r="B182" s="4">
        <f>IF(LoanIsGood,IF(ROW()-ROW(PaymentSchedule3[[#Headers],[PMT NO]])&gt;ScheduledNumberOfPayments,"",ROW()-ROW(PaymentSchedule3[[#Headers],[PMT NO]])),"")</f>
        <v>166</v>
      </c>
      <c r="C182" s="5">
        <f>IF(PaymentSchedule3[[#This Row],[PMT NO]]&lt;&gt;"",EOMONTH(LoanStartDate,ROW(PaymentSchedule3[[#This Row],[PMT NO]])-ROW(PaymentSchedule3[[#Headers],[PMT NO]])-2)+DAY(LoanStartDate),"")</f>
        <v>49096</v>
      </c>
      <c r="D182" s="7">
        <f>IF(PaymentSchedule3[[#This Row],[PMT NO]]&lt;&gt;"",IF(ROW()-ROW(PaymentSchedule3[[#Headers],[BEGINNING BALANCE]])=1,LoanAmount,INDEX([ENDING BALANCE],ROW()-ROW(PaymentSchedule3[[#Headers],[BEGINNING BALANCE]])-1)),"")</f>
        <v>216682.57697363649</v>
      </c>
      <c r="E182" s="7">
        <f>IF(PaymentSchedule3[[#This Row],[PMT NO]]&lt;&gt;"",ScheduledPayment,"")</f>
        <v>1491.0635231826082</v>
      </c>
      <c r="F18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2" s="7">
        <f>IF(PaymentSchedule3[[#This Row],[PMT NO]]&lt;&gt;"",PaymentSchedule3[[#This Row],[TOTAL PAYMENT]]-PaymentSchedule3[[#This Row],[INTEREST]],"")</f>
        <v>804.90202943275926</v>
      </c>
      <c r="I182" s="7">
        <f>IF(PaymentSchedule3[[#This Row],[PMT NO]]&lt;&gt;"",PaymentSchedule3[[#This Row],[BEGINNING BALANCE]]*(InterestRate/PaymentsPerYear),"")</f>
        <v>686.16149374984889</v>
      </c>
      <c r="J182" s="7">
        <f>IF(PaymentSchedule3[[#This Row],[PMT NO]]&lt;&gt;"",IF(PaymentSchedule3[[#This Row],[SCHEDULED PAYMENT]]+PaymentSchedule3[[#This Row],[EXTRA PAYMENT]]&lt;=PaymentSchedule3[[#This Row],[BEGINNING BALANCE]],PaymentSchedule3[[#This Row],[BEGINNING BALANCE]]-PaymentSchedule3[[#This Row],[PRINCIPAL]],0),"")</f>
        <v>215877.67494420373</v>
      </c>
      <c r="K182" s="7">
        <f>IF(PaymentSchedule3[[#This Row],[PMT NO]]&lt;&gt;"",SUM(INDEX([INTEREST],1,1):PaymentSchedule3[[#This Row],[INTEREST]]),"")</f>
        <v>143394.21979251664</v>
      </c>
    </row>
    <row r="183" spans="2:11">
      <c r="B183" s="4">
        <f>IF(LoanIsGood,IF(ROW()-ROW(PaymentSchedule3[[#Headers],[PMT NO]])&gt;ScheduledNumberOfPayments,"",ROW()-ROW(PaymentSchedule3[[#Headers],[PMT NO]])),"")</f>
        <v>167</v>
      </c>
      <c r="C183" s="5">
        <f>IF(PaymentSchedule3[[#This Row],[PMT NO]]&lt;&gt;"",EOMONTH(LoanStartDate,ROW(PaymentSchedule3[[#This Row],[PMT NO]])-ROW(PaymentSchedule3[[#Headers],[PMT NO]])-2)+DAY(LoanStartDate),"")</f>
        <v>49126</v>
      </c>
      <c r="D183" s="7">
        <f>IF(PaymentSchedule3[[#This Row],[PMT NO]]&lt;&gt;"",IF(ROW()-ROW(PaymentSchedule3[[#Headers],[BEGINNING BALANCE]])=1,LoanAmount,INDEX([ENDING BALANCE],ROW()-ROW(PaymentSchedule3[[#Headers],[BEGINNING BALANCE]])-1)),"")</f>
        <v>215877.67494420373</v>
      </c>
      <c r="E183" s="7">
        <f>IF(PaymentSchedule3[[#This Row],[PMT NO]]&lt;&gt;"",ScheduledPayment,"")</f>
        <v>1491.0635231826082</v>
      </c>
      <c r="F18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3" s="7">
        <f>IF(PaymentSchedule3[[#This Row],[PMT NO]]&lt;&gt;"",PaymentSchedule3[[#This Row],[TOTAL PAYMENT]]-PaymentSchedule3[[#This Row],[INTEREST]],"")</f>
        <v>807.45088585929636</v>
      </c>
      <c r="I183" s="7">
        <f>IF(PaymentSchedule3[[#This Row],[PMT NO]]&lt;&gt;"",PaymentSchedule3[[#This Row],[BEGINNING BALANCE]]*(InterestRate/PaymentsPerYear),"")</f>
        <v>683.61263732331179</v>
      </c>
      <c r="J183" s="7">
        <f>IF(PaymentSchedule3[[#This Row],[PMT NO]]&lt;&gt;"",IF(PaymentSchedule3[[#This Row],[SCHEDULED PAYMENT]]+PaymentSchedule3[[#This Row],[EXTRA PAYMENT]]&lt;=PaymentSchedule3[[#This Row],[BEGINNING BALANCE]],PaymentSchedule3[[#This Row],[BEGINNING BALANCE]]-PaymentSchedule3[[#This Row],[PRINCIPAL]],0),"")</f>
        <v>215070.22405834444</v>
      </c>
      <c r="K183" s="7">
        <f>IF(PaymentSchedule3[[#This Row],[PMT NO]]&lt;&gt;"",SUM(INDEX([INTEREST],1,1):PaymentSchedule3[[#This Row],[INTEREST]]),"")</f>
        <v>144077.83242983994</v>
      </c>
    </row>
    <row r="184" spans="2:11">
      <c r="B184" s="4">
        <f>IF(LoanIsGood,IF(ROW()-ROW(PaymentSchedule3[[#Headers],[PMT NO]])&gt;ScheduledNumberOfPayments,"",ROW()-ROW(PaymentSchedule3[[#Headers],[PMT NO]])),"")</f>
        <v>168</v>
      </c>
      <c r="C184" s="5">
        <f>IF(PaymentSchedule3[[#This Row],[PMT NO]]&lt;&gt;"",EOMONTH(LoanStartDate,ROW(PaymentSchedule3[[#This Row],[PMT NO]])-ROW(PaymentSchedule3[[#Headers],[PMT NO]])-2)+DAY(LoanStartDate),"")</f>
        <v>49157</v>
      </c>
      <c r="D184" s="7">
        <f>IF(PaymentSchedule3[[#This Row],[PMT NO]]&lt;&gt;"",IF(ROW()-ROW(PaymentSchedule3[[#Headers],[BEGINNING BALANCE]])=1,LoanAmount,INDEX([ENDING BALANCE],ROW()-ROW(PaymentSchedule3[[#Headers],[BEGINNING BALANCE]])-1)),"")</f>
        <v>215070.22405834444</v>
      </c>
      <c r="E184" s="7">
        <f>IF(PaymentSchedule3[[#This Row],[PMT NO]]&lt;&gt;"",ScheduledPayment,"")</f>
        <v>1491.0635231826082</v>
      </c>
      <c r="F18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4" s="7">
        <f>IF(PaymentSchedule3[[#This Row],[PMT NO]]&lt;&gt;"",PaymentSchedule3[[#This Row],[TOTAL PAYMENT]]-PaymentSchedule3[[#This Row],[INTEREST]],"")</f>
        <v>810.00781366451747</v>
      </c>
      <c r="I184" s="7">
        <f>IF(PaymentSchedule3[[#This Row],[PMT NO]]&lt;&gt;"",PaymentSchedule3[[#This Row],[BEGINNING BALANCE]]*(InterestRate/PaymentsPerYear),"")</f>
        <v>681.05570951809068</v>
      </c>
      <c r="J184" s="7">
        <f>IF(PaymentSchedule3[[#This Row],[PMT NO]]&lt;&gt;"",IF(PaymentSchedule3[[#This Row],[SCHEDULED PAYMENT]]+PaymentSchedule3[[#This Row],[EXTRA PAYMENT]]&lt;=PaymentSchedule3[[#This Row],[BEGINNING BALANCE]],PaymentSchedule3[[#This Row],[BEGINNING BALANCE]]-PaymentSchedule3[[#This Row],[PRINCIPAL]],0),"")</f>
        <v>214260.2162446799</v>
      </c>
      <c r="K184" s="7">
        <f>IF(PaymentSchedule3[[#This Row],[PMT NO]]&lt;&gt;"",SUM(INDEX([INTEREST],1,1):PaymentSchedule3[[#This Row],[INTEREST]]),"")</f>
        <v>144758.88813935802</v>
      </c>
    </row>
    <row r="185" spans="2:11">
      <c r="B185" s="4">
        <f>IF(LoanIsGood,IF(ROW()-ROW(PaymentSchedule3[[#Headers],[PMT NO]])&gt;ScheduledNumberOfPayments,"",ROW()-ROW(PaymentSchedule3[[#Headers],[PMT NO]])),"")</f>
        <v>169</v>
      </c>
      <c r="C185" s="5">
        <f>IF(PaymentSchedule3[[#This Row],[PMT NO]]&lt;&gt;"",EOMONTH(LoanStartDate,ROW(PaymentSchedule3[[#This Row],[PMT NO]])-ROW(PaymentSchedule3[[#Headers],[PMT NO]])-2)+DAY(LoanStartDate),"")</f>
        <v>49188</v>
      </c>
      <c r="D185" s="7">
        <f>IF(PaymentSchedule3[[#This Row],[PMT NO]]&lt;&gt;"",IF(ROW()-ROW(PaymentSchedule3[[#Headers],[BEGINNING BALANCE]])=1,LoanAmount,INDEX([ENDING BALANCE],ROW()-ROW(PaymentSchedule3[[#Headers],[BEGINNING BALANCE]])-1)),"")</f>
        <v>214260.2162446799</v>
      </c>
      <c r="E185" s="7">
        <f>IF(PaymentSchedule3[[#This Row],[PMT NO]]&lt;&gt;"",ScheduledPayment,"")</f>
        <v>1491.0635231826082</v>
      </c>
      <c r="F18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5" s="7">
        <f>IF(PaymentSchedule3[[#This Row],[PMT NO]]&lt;&gt;"",PaymentSchedule3[[#This Row],[TOTAL PAYMENT]]-PaymentSchedule3[[#This Row],[INTEREST]],"")</f>
        <v>812.57283840778848</v>
      </c>
      <c r="I185" s="7">
        <f>IF(PaymentSchedule3[[#This Row],[PMT NO]]&lt;&gt;"",PaymentSchedule3[[#This Row],[BEGINNING BALANCE]]*(InterestRate/PaymentsPerYear),"")</f>
        <v>678.49068477481967</v>
      </c>
      <c r="J185" s="7">
        <f>IF(PaymentSchedule3[[#This Row],[PMT NO]]&lt;&gt;"",IF(PaymentSchedule3[[#This Row],[SCHEDULED PAYMENT]]+PaymentSchedule3[[#This Row],[EXTRA PAYMENT]]&lt;=PaymentSchedule3[[#This Row],[BEGINNING BALANCE]],PaymentSchedule3[[#This Row],[BEGINNING BALANCE]]-PaymentSchedule3[[#This Row],[PRINCIPAL]],0),"")</f>
        <v>213447.64340627211</v>
      </c>
      <c r="K185" s="7">
        <f>IF(PaymentSchedule3[[#This Row],[PMT NO]]&lt;&gt;"",SUM(INDEX([INTEREST],1,1):PaymentSchedule3[[#This Row],[INTEREST]]),"")</f>
        <v>145437.37882413284</v>
      </c>
    </row>
    <row r="186" spans="2:11">
      <c r="B186" s="4">
        <f>IF(LoanIsGood,IF(ROW()-ROW(PaymentSchedule3[[#Headers],[PMT NO]])&gt;ScheduledNumberOfPayments,"",ROW()-ROW(PaymentSchedule3[[#Headers],[PMT NO]])),"")</f>
        <v>170</v>
      </c>
      <c r="C186" s="5">
        <f>IF(PaymentSchedule3[[#This Row],[PMT NO]]&lt;&gt;"",EOMONTH(LoanStartDate,ROW(PaymentSchedule3[[#This Row],[PMT NO]])-ROW(PaymentSchedule3[[#Headers],[PMT NO]])-2)+DAY(LoanStartDate),"")</f>
        <v>49218</v>
      </c>
      <c r="D186" s="7">
        <f>IF(PaymentSchedule3[[#This Row],[PMT NO]]&lt;&gt;"",IF(ROW()-ROW(PaymentSchedule3[[#Headers],[BEGINNING BALANCE]])=1,LoanAmount,INDEX([ENDING BALANCE],ROW()-ROW(PaymentSchedule3[[#Headers],[BEGINNING BALANCE]])-1)),"")</f>
        <v>213447.64340627211</v>
      </c>
      <c r="E186" s="7">
        <f>IF(PaymentSchedule3[[#This Row],[PMT NO]]&lt;&gt;"",ScheduledPayment,"")</f>
        <v>1491.0635231826082</v>
      </c>
      <c r="F18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6" s="7">
        <f>IF(PaymentSchedule3[[#This Row],[PMT NO]]&lt;&gt;"",PaymentSchedule3[[#This Row],[TOTAL PAYMENT]]-PaymentSchedule3[[#This Row],[INTEREST]],"")</f>
        <v>815.14598572941316</v>
      </c>
      <c r="I186" s="7">
        <f>IF(PaymentSchedule3[[#This Row],[PMT NO]]&lt;&gt;"",PaymentSchedule3[[#This Row],[BEGINNING BALANCE]]*(InterestRate/PaymentsPerYear),"")</f>
        <v>675.917537453195</v>
      </c>
      <c r="J186" s="7">
        <f>IF(PaymentSchedule3[[#This Row],[PMT NO]]&lt;&gt;"",IF(PaymentSchedule3[[#This Row],[SCHEDULED PAYMENT]]+PaymentSchedule3[[#This Row],[EXTRA PAYMENT]]&lt;=PaymentSchedule3[[#This Row],[BEGINNING BALANCE]],PaymentSchedule3[[#This Row],[BEGINNING BALANCE]]-PaymentSchedule3[[#This Row],[PRINCIPAL]],0),"")</f>
        <v>212632.4974205427</v>
      </c>
      <c r="K186" s="7">
        <f>IF(PaymentSchedule3[[#This Row],[PMT NO]]&lt;&gt;"",SUM(INDEX([INTEREST],1,1):PaymentSchedule3[[#This Row],[INTEREST]]),"")</f>
        <v>146113.29636158605</v>
      </c>
    </row>
    <row r="187" spans="2:11">
      <c r="B187" s="4">
        <f>IF(LoanIsGood,IF(ROW()-ROW(PaymentSchedule3[[#Headers],[PMT NO]])&gt;ScheduledNumberOfPayments,"",ROW()-ROW(PaymentSchedule3[[#Headers],[PMT NO]])),"")</f>
        <v>171</v>
      </c>
      <c r="C187" s="5">
        <f>IF(PaymentSchedule3[[#This Row],[PMT NO]]&lt;&gt;"",EOMONTH(LoanStartDate,ROW(PaymentSchedule3[[#This Row],[PMT NO]])-ROW(PaymentSchedule3[[#Headers],[PMT NO]])-2)+DAY(LoanStartDate),"")</f>
        <v>49249</v>
      </c>
      <c r="D187" s="7">
        <f>IF(PaymentSchedule3[[#This Row],[PMT NO]]&lt;&gt;"",IF(ROW()-ROW(PaymentSchedule3[[#Headers],[BEGINNING BALANCE]])=1,LoanAmount,INDEX([ENDING BALANCE],ROW()-ROW(PaymentSchedule3[[#Headers],[BEGINNING BALANCE]])-1)),"")</f>
        <v>212632.4974205427</v>
      </c>
      <c r="E187" s="7">
        <f>IF(PaymentSchedule3[[#This Row],[PMT NO]]&lt;&gt;"",ScheduledPayment,"")</f>
        <v>1491.0635231826082</v>
      </c>
      <c r="F18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7" s="7">
        <f>IF(PaymentSchedule3[[#This Row],[PMT NO]]&lt;&gt;"",PaymentSchedule3[[#This Row],[TOTAL PAYMENT]]-PaymentSchedule3[[#This Row],[INTEREST]],"")</f>
        <v>817.7272813508896</v>
      </c>
      <c r="I187" s="7">
        <f>IF(PaymentSchedule3[[#This Row],[PMT NO]]&lt;&gt;"",PaymentSchedule3[[#This Row],[BEGINNING BALANCE]]*(InterestRate/PaymentsPerYear),"")</f>
        <v>673.33624183171855</v>
      </c>
      <c r="J187" s="7">
        <f>IF(PaymentSchedule3[[#This Row],[PMT NO]]&lt;&gt;"",IF(PaymentSchedule3[[#This Row],[SCHEDULED PAYMENT]]+PaymentSchedule3[[#This Row],[EXTRA PAYMENT]]&lt;=PaymentSchedule3[[#This Row],[BEGINNING BALANCE]],PaymentSchedule3[[#This Row],[BEGINNING BALANCE]]-PaymentSchedule3[[#This Row],[PRINCIPAL]],0),"")</f>
        <v>211814.77013919182</v>
      </c>
      <c r="K187" s="7">
        <f>IF(PaymentSchedule3[[#This Row],[PMT NO]]&lt;&gt;"",SUM(INDEX([INTEREST],1,1):PaymentSchedule3[[#This Row],[INTEREST]]),"")</f>
        <v>146786.63260341776</v>
      </c>
    </row>
    <row r="188" spans="2:11">
      <c r="B188" s="4">
        <f>IF(LoanIsGood,IF(ROW()-ROW(PaymentSchedule3[[#Headers],[PMT NO]])&gt;ScheduledNumberOfPayments,"",ROW()-ROW(PaymentSchedule3[[#Headers],[PMT NO]])),"")</f>
        <v>172</v>
      </c>
      <c r="C188" s="5">
        <f>IF(PaymentSchedule3[[#This Row],[PMT NO]]&lt;&gt;"",EOMONTH(LoanStartDate,ROW(PaymentSchedule3[[#This Row],[PMT NO]])-ROW(PaymentSchedule3[[#Headers],[PMT NO]])-2)+DAY(LoanStartDate),"")</f>
        <v>49279</v>
      </c>
      <c r="D188" s="7">
        <f>IF(PaymentSchedule3[[#This Row],[PMT NO]]&lt;&gt;"",IF(ROW()-ROW(PaymentSchedule3[[#Headers],[BEGINNING BALANCE]])=1,LoanAmount,INDEX([ENDING BALANCE],ROW()-ROW(PaymentSchedule3[[#Headers],[BEGINNING BALANCE]])-1)),"")</f>
        <v>211814.77013919182</v>
      </c>
      <c r="E188" s="7">
        <f>IF(PaymentSchedule3[[#This Row],[PMT NO]]&lt;&gt;"",ScheduledPayment,"")</f>
        <v>1491.0635231826082</v>
      </c>
      <c r="F18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8" s="7">
        <f>IF(PaymentSchedule3[[#This Row],[PMT NO]]&lt;&gt;"",PaymentSchedule3[[#This Row],[TOTAL PAYMENT]]-PaymentSchedule3[[#This Row],[INTEREST]],"")</f>
        <v>820.31675107516742</v>
      </c>
      <c r="I188" s="7">
        <f>IF(PaymentSchedule3[[#This Row],[PMT NO]]&lt;&gt;"",PaymentSchedule3[[#This Row],[BEGINNING BALANCE]]*(InterestRate/PaymentsPerYear),"")</f>
        <v>670.74677210744073</v>
      </c>
      <c r="J188" s="7">
        <f>IF(PaymentSchedule3[[#This Row],[PMT NO]]&lt;&gt;"",IF(PaymentSchedule3[[#This Row],[SCHEDULED PAYMENT]]+PaymentSchedule3[[#This Row],[EXTRA PAYMENT]]&lt;=PaymentSchedule3[[#This Row],[BEGINNING BALANCE]],PaymentSchedule3[[#This Row],[BEGINNING BALANCE]]-PaymentSchedule3[[#This Row],[PRINCIPAL]],0),"")</f>
        <v>210994.45338811664</v>
      </c>
      <c r="K188" s="7">
        <f>IF(PaymentSchedule3[[#This Row],[PMT NO]]&lt;&gt;"",SUM(INDEX([INTEREST],1,1):PaymentSchedule3[[#This Row],[INTEREST]]),"")</f>
        <v>147457.3793755252</v>
      </c>
    </row>
    <row r="189" spans="2:11">
      <c r="B189" s="4">
        <f>IF(LoanIsGood,IF(ROW()-ROW(PaymentSchedule3[[#Headers],[PMT NO]])&gt;ScheduledNumberOfPayments,"",ROW()-ROW(PaymentSchedule3[[#Headers],[PMT NO]])),"")</f>
        <v>173</v>
      </c>
      <c r="C189" s="5">
        <f>IF(PaymentSchedule3[[#This Row],[PMT NO]]&lt;&gt;"",EOMONTH(LoanStartDate,ROW(PaymentSchedule3[[#This Row],[PMT NO]])-ROW(PaymentSchedule3[[#Headers],[PMT NO]])-2)+DAY(LoanStartDate),"")</f>
        <v>49310</v>
      </c>
      <c r="D189" s="7">
        <f>IF(PaymentSchedule3[[#This Row],[PMT NO]]&lt;&gt;"",IF(ROW()-ROW(PaymentSchedule3[[#Headers],[BEGINNING BALANCE]])=1,LoanAmount,INDEX([ENDING BALANCE],ROW()-ROW(PaymentSchedule3[[#Headers],[BEGINNING BALANCE]])-1)),"")</f>
        <v>210994.45338811664</v>
      </c>
      <c r="E189" s="7">
        <f>IF(PaymentSchedule3[[#This Row],[PMT NO]]&lt;&gt;"",ScheduledPayment,"")</f>
        <v>1491.0635231826082</v>
      </c>
      <c r="F18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89" s="7">
        <f>IF(PaymentSchedule3[[#This Row],[PMT NO]]&lt;&gt;"",PaymentSchedule3[[#This Row],[TOTAL PAYMENT]]-PaymentSchedule3[[#This Row],[INTEREST]],"")</f>
        <v>822.91442078690545</v>
      </c>
      <c r="I189" s="7">
        <f>IF(PaymentSchedule3[[#This Row],[PMT NO]]&lt;&gt;"",PaymentSchedule3[[#This Row],[BEGINNING BALANCE]]*(InterestRate/PaymentsPerYear),"")</f>
        <v>668.1491023957027</v>
      </c>
      <c r="J189" s="7">
        <f>IF(PaymentSchedule3[[#This Row],[PMT NO]]&lt;&gt;"",IF(PaymentSchedule3[[#This Row],[SCHEDULED PAYMENT]]+PaymentSchedule3[[#This Row],[EXTRA PAYMENT]]&lt;=PaymentSchedule3[[#This Row],[BEGINNING BALANCE]],PaymentSchedule3[[#This Row],[BEGINNING BALANCE]]-PaymentSchedule3[[#This Row],[PRINCIPAL]],0),"")</f>
        <v>210171.53896732975</v>
      </c>
      <c r="K189" s="7">
        <f>IF(PaymentSchedule3[[#This Row],[PMT NO]]&lt;&gt;"",SUM(INDEX([INTEREST],1,1):PaymentSchedule3[[#This Row],[INTEREST]]),"")</f>
        <v>148125.52847792089</v>
      </c>
    </row>
    <row r="190" spans="2:11">
      <c r="B190" s="4">
        <f>IF(LoanIsGood,IF(ROW()-ROW(PaymentSchedule3[[#Headers],[PMT NO]])&gt;ScheduledNumberOfPayments,"",ROW()-ROW(PaymentSchedule3[[#Headers],[PMT NO]])),"")</f>
        <v>174</v>
      </c>
      <c r="C190" s="5">
        <f>IF(PaymentSchedule3[[#This Row],[PMT NO]]&lt;&gt;"",EOMONTH(LoanStartDate,ROW(PaymentSchedule3[[#This Row],[PMT NO]])-ROW(PaymentSchedule3[[#Headers],[PMT NO]])-2)+DAY(LoanStartDate),"")</f>
        <v>49341</v>
      </c>
      <c r="D190" s="7">
        <f>IF(PaymentSchedule3[[#This Row],[PMT NO]]&lt;&gt;"",IF(ROW()-ROW(PaymentSchedule3[[#Headers],[BEGINNING BALANCE]])=1,LoanAmount,INDEX([ENDING BALANCE],ROW()-ROW(PaymentSchedule3[[#Headers],[BEGINNING BALANCE]])-1)),"")</f>
        <v>210171.53896732975</v>
      </c>
      <c r="E190" s="7">
        <f>IF(PaymentSchedule3[[#This Row],[PMT NO]]&lt;&gt;"",ScheduledPayment,"")</f>
        <v>1491.0635231826082</v>
      </c>
      <c r="F19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0" s="7">
        <f>IF(PaymentSchedule3[[#This Row],[PMT NO]]&lt;&gt;"",PaymentSchedule3[[#This Row],[TOTAL PAYMENT]]-PaymentSchedule3[[#This Row],[INTEREST]],"")</f>
        <v>825.52031645273064</v>
      </c>
      <c r="I190" s="7">
        <f>IF(PaymentSchedule3[[#This Row],[PMT NO]]&lt;&gt;"",PaymentSchedule3[[#This Row],[BEGINNING BALANCE]]*(InterestRate/PaymentsPerYear),"")</f>
        <v>665.54320672987751</v>
      </c>
      <c r="J190" s="7">
        <f>IF(PaymentSchedule3[[#This Row],[PMT NO]]&lt;&gt;"",IF(PaymentSchedule3[[#This Row],[SCHEDULED PAYMENT]]+PaymentSchedule3[[#This Row],[EXTRA PAYMENT]]&lt;=PaymentSchedule3[[#This Row],[BEGINNING BALANCE]],PaymentSchedule3[[#This Row],[BEGINNING BALANCE]]-PaymentSchedule3[[#This Row],[PRINCIPAL]],0),"")</f>
        <v>209346.01865087703</v>
      </c>
      <c r="K190" s="7">
        <f>IF(PaymentSchedule3[[#This Row],[PMT NO]]&lt;&gt;"",SUM(INDEX([INTEREST],1,1):PaymentSchedule3[[#This Row],[INTEREST]]),"")</f>
        <v>148791.07168465076</v>
      </c>
    </row>
    <row r="191" spans="2:11">
      <c r="B191" s="4">
        <f>IF(LoanIsGood,IF(ROW()-ROW(PaymentSchedule3[[#Headers],[PMT NO]])&gt;ScheduledNumberOfPayments,"",ROW()-ROW(PaymentSchedule3[[#Headers],[PMT NO]])),"")</f>
        <v>175</v>
      </c>
      <c r="C191" s="5">
        <f>IF(PaymentSchedule3[[#This Row],[PMT NO]]&lt;&gt;"",EOMONTH(LoanStartDate,ROW(PaymentSchedule3[[#This Row],[PMT NO]])-ROW(PaymentSchedule3[[#Headers],[PMT NO]])-2)+DAY(LoanStartDate),"")</f>
        <v>49369</v>
      </c>
      <c r="D191" s="7">
        <f>IF(PaymentSchedule3[[#This Row],[PMT NO]]&lt;&gt;"",IF(ROW()-ROW(PaymentSchedule3[[#Headers],[BEGINNING BALANCE]])=1,LoanAmount,INDEX([ENDING BALANCE],ROW()-ROW(PaymentSchedule3[[#Headers],[BEGINNING BALANCE]])-1)),"")</f>
        <v>209346.01865087703</v>
      </c>
      <c r="E191" s="7">
        <f>IF(PaymentSchedule3[[#This Row],[PMT NO]]&lt;&gt;"",ScheduledPayment,"")</f>
        <v>1491.0635231826082</v>
      </c>
      <c r="F19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1" s="7">
        <f>IF(PaymentSchedule3[[#This Row],[PMT NO]]&lt;&gt;"",PaymentSchedule3[[#This Row],[TOTAL PAYMENT]]-PaymentSchedule3[[#This Row],[INTEREST]],"")</f>
        <v>828.13446412149756</v>
      </c>
      <c r="I191" s="7">
        <f>IF(PaymentSchedule3[[#This Row],[PMT NO]]&lt;&gt;"",PaymentSchedule3[[#This Row],[BEGINNING BALANCE]]*(InterestRate/PaymentsPerYear),"")</f>
        <v>662.92905906111059</v>
      </c>
      <c r="J191" s="7">
        <f>IF(PaymentSchedule3[[#This Row],[PMT NO]]&lt;&gt;"",IF(PaymentSchedule3[[#This Row],[SCHEDULED PAYMENT]]+PaymentSchedule3[[#This Row],[EXTRA PAYMENT]]&lt;=PaymentSchedule3[[#This Row],[BEGINNING BALANCE]],PaymentSchedule3[[#This Row],[BEGINNING BALANCE]]-PaymentSchedule3[[#This Row],[PRINCIPAL]],0),"")</f>
        <v>208517.88418675552</v>
      </c>
      <c r="K191" s="7">
        <f>IF(PaymentSchedule3[[#This Row],[PMT NO]]&lt;&gt;"",SUM(INDEX([INTEREST],1,1):PaymentSchedule3[[#This Row],[INTEREST]]),"")</f>
        <v>149454.00074371186</v>
      </c>
    </row>
    <row r="192" spans="2:11">
      <c r="B192" s="4">
        <f>IF(LoanIsGood,IF(ROW()-ROW(PaymentSchedule3[[#Headers],[PMT NO]])&gt;ScheduledNumberOfPayments,"",ROW()-ROW(PaymentSchedule3[[#Headers],[PMT NO]])),"")</f>
        <v>176</v>
      </c>
      <c r="C192" s="5">
        <f>IF(PaymentSchedule3[[#This Row],[PMT NO]]&lt;&gt;"",EOMONTH(LoanStartDate,ROW(PaymentSchedule3[[#This Row],[PMT NO]])-ROW(PaymentSchedule3[[#Headers],[PMT NO]])-2)+DAY(LoanStartDate),"")</f>
        <v>49400</v>
      </c>
      <c r="D192" s="7">
        <f>IF(PaymentSchedule3[[#This Row],[PMT NO]]&lt;&gt;"",IF(ROW()-ROW(PaymentSchedule3[[#Headers],[BEGINNING BALANCE]])=1,LoanAmount,INDEX([ENDING BALANCE],ROW()-ROW(PaymentSchedule3[[#Headers],[BEGINNING BALANCE]])-1)),"")</f>
        <v>208517.88418675552</v>
      </c>
      <c r="E192" s="7">
        <f>IF(PaymentSchedule3[[#This Row],[PMT NO]]&lt;&gt;"",ScheduledPayment,"")</f>
        <v>1491.0635231826082</v>
      </c>
      <c r="F19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2" s="7">
        <f>IF(PaymentSchedule3[[#This Row],[PMT NO]]&lt;&gt;"",PaymentSchedule3[[#This Row],[TOTAL PAYMENT]]-PaymentSchedule3[[#This Row],[INTEREST]],"")</f>
        <v>830.756889924549</v>
      </c>
      <c r="I192" s="7">
        <f>IF(PaymentSchedule3[[#This Row],[PMT NO]]&lt;&gt;"",PaymentSchedule3[[#This Row],[BEGINNING BALANCE]]*(InterestRate/PaymentsPerYear),"")</f>
        <v>660.30663325805915</v>
      </c>
      <c r="J192" s="7">
        <f>IF(PaymentSchedule3[[#This Row],[PMT NO]]&lt;&gt;"",IF(PaymentSchedule3[[#This Row],[SCHEDULED PAYMENT]]+PaymentSchedule3[[#This Row],[EXTRA PAYMENT]]&lt;=PaymentSchedule3[[#This Row],[BEGINNING BALANCE]],PaymentSchedule3[[#This Row],[BEGINNING BALANCE]]-PaymentSchedule3[[#This Row],[PRINCIPAL]],0),"")</f>
        <v>207687.12729683096</v>
      </c>
      <c r="K192" s="7">
        <f>IF(PaymentSchedule3[[#This Row],[PMT NO]]&lt;&gt;"",SUM(INDEX([INTEREST],1,1):PaymentSchedule3[[#This Row],[INTEREST]]),"")</f>
        <v>150114.30737696993</v>
      </c>
    </row>
    <row r="193" spans="2:11">
      <c r="B193" s="4">
        <f>IF(LoanIsGood,IF(ROW()-ROW(PaymentSchedule3[[#Headers],[PMT NO]])&gt;ScheduledNumberOfPayments,"",ROW()-ROW(PaymentSchedule3[[#Headers],[PMT NO]])),"")</f>
        <v>177</v>
      </c>
      <c r="C193" s="5">
        <f>IF(PaymentSchedule3[[#This Row],[PMT NO]]&lt;&gt;"",EOMONTH(LoanStartDate,ROW(PaymentSchedule3[[#This Row],[PMT NO]])-ROW(PaymentSchedule3[[#Headers],[PMT NO]])-2)+DAY(LoanStartDate),"")</f>
        <v>49430</v>
      </c>
      <c r="D193" s="7">
        <f>IF(PaymentSchedule3[[#This Row],[PMT NO]]&lt;&gt;"",IF(ROW()-ROW(PaymentSchedule3[[#Headers],[BEGINNING BALANCE]])=1,LoanAmount,INDEX([ENDING BALANCE],ROW()-ROW(PaymentSchedule3[[#Headers],[BEGINNING BALANCE]])-1)),"")</f>
        <v>207687.12729683096</v>
      </c>
      <c r="E193" s="7">
        <f>IF(PaymentSchedule3[[#This Row],[PMT NO]]&lt;&gt;"",ScheduledPayment,"")</f>
        <v>1491.0635231826082</v>
      </c>
      <c r="F19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3" s="7">
        <f>IF(PaymentSchedule3[[#This Row],[PMT NO]]&lt;&gt;"",PaymentSchedule3[[#This Row],[TOTAL PAYMENT]]-PaymentSchedule3[[#This Row],[INTEREST]],"")</f>
        <v>833.38762007597677</v>
      </c>
      <c r="I193" s="7">
        <f>IF(PaymentSchedule3[[#This Row],[PMT NO]]&lt;&gt;"",PaymentSchedule3[[#This Row],[BEGINNING BALANCE]]*(InterestRate/PaymentsPerYear),"")</f>
        <v>657.67590310663138</v>
      </c>
      <c r="J193" s="7">
        <f>IF(PaymentSchedule3[[#This Row],[PMT NO]]&lt;&gt;"",IF(PaymentSchedule3[[#This Row],[SCHEDULED PAYMENT]]+PaymentSchedule3[[#This Row],[EXTRA PAYMENT]]&lt;=PaymentSchedule3[[#This Row],[BEGINNING BALANCE]],PaymentSchedule3[[#This Row],[BEGINNING BALANCE]]-PaymentSchedule3[[#This Row],[PRINCIPAL]],0),"")</f>
        <v>206853.73967675498</v>
      </c>
      <c r="K193" s="7">
        <f>IF(PaymentSchedule3[[#This Row],[PMT NO]]&lt;&gt;"",SUM(INDEX([INTEREST],1,1):PaymentSchedule3[[#This Row],[INTEREST]]),"")</f>
        <v>150771.98328007656</v>
      </c>
    </row>
    <row r="194" spans="2:11">
      <c r="B194" s="4">
        <f>IF(LoanIsGood,IF(ROW()-ROW(PaymentSchedule3[[#Headers],[PMT NO]])&gt;ScheduledNumberOfPayments,"",ROW()-ROW(PaymentSchedule3[[#Headers],[PMT NO]])),"")</f>
        <v>178</v>
      </c>
      <c r="C194" s="5">
        <f>IF(PaymentSchedule3[[#This Row],[PMT NO]]&lt;&gt;"",EOMONTH(LoanStartDate,ROW(PaymentSchedule3[[#This Row],[PMT NO]])-ROW(PaymentSchedule3[[#Headers],[PMT NO]])-2)+DAY(LoanStartDate),"")</f>
        <v>49461</v>
      </c>
      <c r="D194" s="7">
        <f>IF(PaymentSchedule3[[#This Row],[PMT NO]]&lt;&gt;"",IF(ROW()-ROW(PaymentSchedule3[[#Headers],[BEGINNING BALANCE]])=1,LoanAmount,INDEX([ENDING BALANCE],ROW()-ROW(PaymentSchedule3[[#Headers],[BEGINNING BALANCE]])-1)),"")</f>
        <v>206853.73967675498</v>
      </c>
      <c r="E194" s="7">
        <f>IF(PaymentSchedule3[[#This Row],[PMT NO]]&lt;&gt;"",ScheduledPayment,"")</f>
        <v>1491.0635231826082</v>
      </c>
      <c r="F19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4" s="7">
        <f>IF(PaymentSchedule3[[#This Row],[PMT NO]]&lt;&gt;"",PaymentSchedule3[[#This Row],[TOTAL PAYMENT]]-PaymentSchedule3[[#This Row],[INTEREST]],"")</f>
        <v>836.02668087288407</v>
      </c>
      <c r="I194" s="7">
        <f>IF(PaymentSchedule3[[#This Row],[PMT NO]]&lt;&gt;"",PaymentSchedule3[[#This Row],[BEGINNING BALANCE]]*(InterestRate/PaymentsPerYear),"")</f>
        <v>655.03684230972408</v>
      </c>
      <c r="J194" s="7">
        <f>IF(PaymentSchedule3[[#This Row],[PMT NO]]&lt;&gt;"",IF(PaymentSchedule3[[#This Row],[SCHEDULED PAYMENT]]+PaymentSchedule3[[#This Row],[EXTRA PAYMENT]]&lt;=PaymentSchedule3[[#This Row],[BEGINNING BALANCE]],PaymentSchedule3[[#This Row],[BEGINNING BALANCE]]-PaymentSchedule3[[#This Row],[PRINCIPAL]],0),"")</f>
        <v>206017.71299588209</v>
      </c>
      <c r="K194" s="7">
        <f>IF(PaymentSchedule3[[#This Row],[PMT NO]]&lt;&gt;"",SUM(INDEX([INTEREST],1,1):PaymentSchedule3[[#This Row],[INTEREST]]),"")</f>
        <v>151427.02012238628</v>
      </c>
    </row>
    <row r="195" spans="2:11">
      <c r="B195" s="4">
        <f>IF(LoanIsGood,IF(ROW()-ROW(PaymentSchedule3[[#Headers],[PMT NO]])&gt;ScheduledNumberOfPayments,"",ROW()-ROW(PaymentSchedule3[[#Headers],[PMT NO]])),"")</f>
        <v>179</v>
      </c>
      <c r="C195" s="5">
        <f>IF(PaymentSchedule3[[#This Row],[PMT NO]]&lt;&gt;"",EOMONTH(LoanStartDate,ROW(PaymentSchedule3[[#This Row],[PMT NO]])-ROW(PaymentSchedule3[[#Headers],[PMT NO]])-2)+DAY(LoanStartDate),"")</f>
        <v>49491</v>
      </c>
      <c r="D195" s="7">
        <f>IF(PaymentSchedule3[[#This Row],[PMT NO]]&lt;&gt;"",IF(ROW()-ROW(PaymentSchedule3[[#Headers],[BEGINNING BALANCE]])=1,LoanAmount,INDEX([ENDING BALANCE],ROW()-ROW(PaymentSchedule3[[#Headers],[BEGINNING BALANCE]])-1)),"")</f>
        <v>206017.71299588209</v>
      </c>
      <c r="E195" s="7">
        <f>IF(PaymentSchedule3[[#This Row],[PMT NO]]&lt;&gt;"",ScheduledPayment,"")</f>
        <v>1491.0635231826082</v>
      </c>
      <c r="F19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5" s="7">
        <f>IF(PaymentSchedule3[[#This Row],[PMT NO]]&lt;&gt;"",PaymentSchedule3[[#This Row],[TOTAL PAYMENT]]-PaymentSchedule3[[#This Row],[INTEREST]],"")</f>
        <v>838.67409869564824</v>
      </c>
      <c r="I195" s="7">
        <f>IF(PaymentSchedule3[[#This Row],[PMT NO]]&lt;&gt;"",PaymentSchedule3[[#This Row],[BEGINNING BALANCE]]*(InterestRate/PaymentsPerYear),"")</f>
        <v>652.38942448695991</v>
      </c>
      <c r="J195" s="7">
        <f>IF(PaymentSchedule3[[#This Row],[PMT NO]]&lt;&gt;"",IF(PaymentSchedule3[[#This Row],[SCHEDULED PAYMENT]]+PaymentSchedule3[[#This Row],[EXTRA PAYMENT]]&lt;=PaymentSchedule3[[#This Row],[BEGINNING BALANCE]],PaymentSchedule3[[#This Row],[BEGINNING BALANCE]]-PaymentSchedule3[[#This Row],[PRINCIPAL]],0),"")</f>
        <v>205179.03889718643</v>
      </c>
      <c r="K195" s="7">
        <f>IF(PaymentSchedule3[[#This Row],[PMT NO]]&lt;&gt;"",SUM(INDEX([INTEREST],1,1):PaymentSchedule3[[#This Row],[INTEREST]]),"")</f>
        <v>152079.40954687324</v>
      </c>
    </row>
    <row r="196" spans="2:11">
      <c r="B196" s="4">
        <f>IF(LoanIsGood,IF(ROW()-ROW(PaymentSchedule3[[#Headers],[PMT NO]])&gt;ScheduledNumberOfPayments,"",ROW()-ROW(PaymentSchedule3[[#Headers],[PMT NO]])),"")</f>
        <v>180</v>
      </c>
      <c r="C196" s="5">
        <f>IF(PaymentSchedule3[[#This Row],[PMT NO]]&lt;&gt;"",EOMONTH(LoanStartDate,ROW(PaymentSchedule3[[#This Row],[PMT NO]])-ROW(PaymentSchedule3[[#Headers],[PMT NO]])-2)+DAY(LoanStartDate),"")</f>
        <v>49522</v>
      </c>
      <c r="D196" s="7">
        <f>IF(PaymentSchedule3[[#This Row],[PMT NO]]&lt;&gt;"",IF(ROW()-ROW(PaymentSchedule3[[#Headers],[BEGINNING BALANCE]])=1,LoanAmount,INDEX([ENDING BALANCE],ROW()-ROW(PaymentSchedule3[[#Headers],[BEGINNING BALANCE]])-1)),"")</f>
        <v>205179.03889718643</v>
      </c>
      <c r="E196" s="7">
        <f>IF(PaymentSchedule3[[#This Row],[PMT NO]]&lt;&gt;"",ScheduledPayment,"")</f>
        <v>1491.0635231826082</v>
      </c>
      <c r="F19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6" s="7">
        <f>IF(PaymentSchedule3[[#This Row],[PMT NO]]&lt;&gt;"",PaymentSchedule3[[#This Row],[TOTAL PAYMENT]]-PaymentSchedule3[[#This Row],[INTEREST]],"")</f>
        <v>841.3299000081845</v>
      </c>
      <c r="I196" s="7">
        <f>IF(PaymentSchedule3[[#This Row],[PMT NO]]&lt;&gt;"",PaymentSchedule3[[#This Row],[BEGINNING BALANCE]]*(InterestRate/PaymentsPerYear),"")</f>
        <v>649.73362317442366</v>
      </c>
      <c r="J196" s="7">
        <f>IF(PaymentSchedule3[[#This Row],[PMT NO]]&lt;&gt;"",IF(PaymentSchedule3[[#This Row],[SCHEDULED PAYMENT]]+PaymentSchedule3[[#This Row],[EXTRA PAYMENT]]&lt;=PaymentSchedule3[[#This Row],[BEGINNING BALANCE]],PaymentSchedule3[[#This Row],[BEGINNING BALANCE]]-PaymentSchedule3[[#This Row],[PRINCIPAL]],0),"")</f>
        <v>204337.70899717824</v>
      </c>
      <c r="K196" s="7">
        <f>IF(PaymentSchedule3[[#This Row],[PMT NO]]&lt;&gt;"",SUM(INDEX([INTEREST],1,1):PaymentSchedule3[[#This Row],[INTEREST]]),"")</f>
        <v>152729.14317004767</v>
      </c>
    </row>
    <row r="197" spans="2:11">
      <c r="B197" s="4">
        <f>IF(LoanIsGood,IF(ROW()-ROW(PaymentSchedule3[[#Headers],[PMT NO]])&gt;ScheduledNumberOfPayments,"",ROW()-ROW(PaymentSchedule3[[#Headers],[PMT NO]])),"")</f>
        <v>181</v>
      </c>
      <c r="C197" s="5">
        <f>IF(PaymentSchedule3[[#This Row],[PMT NO]]&lt;&gt;"",EOMONTH(LoanStartDate,ROW(PaymentSchedule3[[#This Row],[PMT NO]])-ROW(PaymentSchedule3[[#Headers],[PMT NO]])-2)+DAY(LoanStartDate),"")</f>
        <v>49553</v>
      </c>
      <c r="D197" s="7">
        <f>IF(PaymentSchedule3[[#This Row],[PMT NO]]&lt;&gt;"",IF(ROW()-ROW(PaymentSchedule3[[#Headers],[BEGINNING BALANCE]])=1,LoanAmount,INDEX([ENDING BALANCE],ROW()-ROW(PaymentSchedule3[[#Headers],[BEGINNING BALANCE]])-1)),"")</f>
        <v>204337.70899717824</v>
      </c>
      <c r="E197" s="7">
        <f>IF(PaymentSchedule3[[#This Row],[PMT NO]]&lt;&gt;"",ScheduledPayment,"")</f>
        <v>1491.0635231826082</v>
      </c>
      <c r="F19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7" s="7">
        <f>IF(PaymentSchedule3[[#This Row],[PMT NO]]&lt;&gt;"",PaymentSchedule3[[#This Row],[TOTAL PAYMENT]]-PaymentSchedule3[[#This Row],[INTEREST]],"")</f>
        <v>843.99411135821038</v>
      </c>
      <c r="I197" s="7">
        <f>IF(PaymentSchedule3[[#This Row],[PMT NO]]&lt;&gt;"",PaymentSchedule3[[#This Row],[BEGINNING BALANCE]]*(InterestRate/PaymentsPerYear),"")</f>
        <v>647.06941182439778</v>
      </c>
      <c r="J197" s="7">
        <f>IF(PaymentSchedule3[[#This Row],[PMT NO]]&lt;&gt;"",IF(PaymentSchedule3[[#This Row],[SCHEDULED PAYMENT]]+PaymentSchedule3[[#This Row],[EXTRA PAYMENT]]&lt;=PaymentSchedule3[[#This Row],[BEGINNING BALANCE]],PaymentSchedule3[[#This Row],[BEGINNING BALANCE]]-PaymentSchedule3[[#This Row],[PRINCIPAL]],0),"")</f>
        <v>203493.71488582002</v>
      </c>
      <c r="K197" s="7">
        <f>IF(PaymentSchedule3[[#This Row],[PMT NO]]&lt;&gt;"",SUM(INDEX([INTEREST],1,1):PaymentSchedule3[[#This Row],[INTEREST]]),"")</f>
        <v>153376.21258187207</v>
      </c>
    </row>
    <row r="198" spans="2:11">
      <c r="B198" s="4">
        <f>IF(LoanIsGood,IF(ROW()-ROW(PaymentSchedule3[[#Headers],[PMT NO]])&gt;ScheduledNumberOfPayments,"",ROW()-ROW(PaymentSchedule3[[#Headers],[PMT NO]])),"")</f>
        <v>182</v>
      </c>
      <c r="C198" s="5">
        <f>IF(PaymentSchedule3[[#This Row],[PMT NO]]&lt;&gt;"",EOMONTH(LoanStartDate,ROW(PaymentSchedule3[[#This Row],[PMT NO]])-ROW(PaymentSchedule3[[#Headers],[PMT NO]])-2)+DAY(LoanStartDate),"")</f>
        <v>49583</v>
      </c>
      <c r="D198" s="7">
        <f>IF(PaymentSchedule3[[#This Row],[PMT NO]]&lt;&gt;"",IF(ROW()-ROW(PaymentSchedule3[[#Headers],[BEGINNING BALANCE]])=1,LoanAmount,INDEX([ENDING BALANCE],ROW()-ROW(PaymentSchedule3[[#Headers],[BEGINNING BALANCE]])-1)),"")</f>
        <v>203493.71488582002</v>
      </c>
      <c r="E198" s="7">
        <f>IF(PaymentSchedule3[[#This Row],[PMT NO]]&lt;&gt;"",ScheduledPayment,"")</f>
        <v>1491.0635231826082</v>
      </c>
      <c r="F19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8" s="7">
        <f>IF(PaymentSchedule3[[#This Row],[PMT NO]]&lt;&gt;"",PaymentSchedule3[[#This Row],[TOTAL PAYMENT]]-PaymentSchedule3[[#This Row],[INTEREST]],"")</f>
        <v>846.66675937751143</v>
      </c>
      <c r="I198" s="7">
        <f>IF(PaymentSchedule3[[#This Row],[PMT NO]]&lt;&gt;"",PaymentSchedule3[[#This Row],[BEGINNING BALANCE]]*(InterestRate/PaymentsPerYear),"")</f>
        <v>644.39676380509673</v>
      </c>
      <c r="J198" s="7">
        <f>IF(PaymentSchedule3[[#This Row],[PMT NO]]&lt;&gt;"",IF(PaymentSchedule3[[#This Row],[SCHEDULED PAYMENT]]+PaymentSchedule3[[#This Row],[EXTRA PAYMENT]]&lt;=PaymentSchedule3[[#This Row],[BEGINNING BALANCE]],PaymentSchedule3[[#This Row],[BEGINNING BALANCE]]-PaymentSchedule3[[#This Row],[PRINCIPAL]],0),"")</f>
        <v>202647.0481264425</v>
      </c>
      <c r="K198" s="7">
        <f>IF(PaymentSchedule3[[#This Row],[PMT NO]]&lt;&gt;"",SUM(INDEX([INTEREST],1,1):PaymentSchedule3[[#This Row],[INTEREST]]),"")</f>
        <v>154020.60934567716</v>
      </c>
    </row>
    <row r="199" spans="2:11">
      <c r="B199" s="4">
        <f>IF(LoanIsGood,IF(ROW()-ROW(PaymentSchedule3[[#Headers],[PMT NO]])&gt;ScheduledNumberOfPayments,"",ROW()-ROW(PaymentSchedule3[[#Headers],[PMT NO]])),"")</f>
        <v>183</v>
      </c>
      <c r="C199" s="5">
        <f>IF(PaymentSchedule3[[#This Row],[PMT NO]]&lt;&gt;"",EOMONTH(LoanStartDate,ROW(PaymentSchedule3[[#This Row],[PMT NO]])-ROW(PaymentSchedule3[[#Headers],[PMT NO]])-2)+DAY(LoanStartDate),"")</f>
        <v>49614</v>
      </c>
      <c r="D199" s="7">
        <f>IF(PaymentSchedule3[[#This Row],[PMT NO]]&lt;&gt;"",IF(ROW()-ROW(PaymentSchedule3[[#Headers],[BEGINNING BALANCE]])=1,LoanAmount,INDEX([ENDING BALANCE],ROW()-ROW(PaymentSchedule3[[#Headers],[BEGINNING BALANCE]])-1)),"")</f>
        <v>202647.0481264425</v>
      </c>
      <c r="E199" s="7">
        <f>IF(PaymentSchedule3[[#This Row],[PMT NO]]&lt;&gt;"",ScheduledPayment,"")</f>
        <v>1491.0635231826082</v>
      </c>
      <c r="F19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199" s="7">
        <f>IF(PaymentSchedule3[[#This Row],[PMT NO]]&lt;&gt;"",PaymentSchedule3[[#This Row],[TOTAL PAYMENT]]-PaymentSchedule3[[#This Row],[INTEREST]],"")</f>
        <v>849.34787078220688</v>
      </c>
      <c r="I199" s="7">
        <f>IF(PaymentSchedule3[[#This Row],[PMT NO]]&lt;&gt;"",PaymentSchedule3[[#This Row],[BEGINNING BALANCE]]*(InterestRate/PaymentsPerYear),"")</f>
        <v>641.71565240040127</v>
      </c>
      <c r="J199" s="7">
        <f>IF(PaymentSchedule3[[#This Row],[PMT NO]]&lt;&gt;"",IF(PaymentSchedule3[[#This Row],[SCHEDULED PAYMENT]]+PaymentSchedule3[[#This Row],[EXTRA PAYMENT]]&lt;=PaymentSchedule3[[#This Row],[BEGINNING BALANCE]],PaymentSchedule3[[#This Row],[BEGINNING BALANCE]]-PaymentSchedule3[[#This Row],[PRINCIPAL]],0),"")</f>
        <v>201797.70025566028</v>
      </c>
      <c r="K199" s="7">
        <f>IF(PaymentSchedule3[[#This Row],[PMT NO]]&lt;&gt;"",SUM(INDEX([INTEREST],1,1):PaymentSchedule3[[#This Row],[INTEREST]]),"")</f>
        <v>154662.32499807756</v>
      </c>
    </row>
    <row r="200" spans="2:11">
      <c r="B200" s="4">
        <f>IF(LoanIsGood,IF(ROW()-ROW(PaymentSchedule3[[#Headers],[PMT NO]])&gt;ScheduledNumberOfPayments,"",ROW()-ROW(PaymentSchedule3[[#Headers],[PMT NO]])),"")</f>
        <v>184</v>
      </c>
      <c r="C200" s="5">
        <f>IF(PaymentSchedule3[[#This Row],[PMT NO]]&lt;&gt;"",EOMONTH(LoanStartDate,ROW(PaymentSchedule3[[#This Row],[PMT NO]])-ROW(PaymentSchedule3[[#Headers],[PMT NO]])-2)+DAY(LoanStartDate),"")</f>
        <v>49644</v>
      </c>
      <c r="D200" s="7">
        <f>IF(PaymentSchedule3[[#This Row],[PMT NO]]&lt;&gt;"",IF(ROW()-ROW(PaymentSchedule3[[#Headers],[BEGINNING BALANCE]])=1,LoanAmount,INDEX([ENDING BALANCE],ROW()-ROW(PaymentSchedule3[[#Headers],[BEGINNING BALANCE]])-1)),"")</f>
        <v>201797.70025566028</v>
      </c>
      <c r="E200" s="7">
        <f>IF(PaymentSchedule3[[#This Row],[PMT NO]]&lt;&gt;"",ScheduledPayment,"")</f>
        <v>1491.0635231826082</v>
      </c>
      <c r="F20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0" s="7">
        <f>IF(PaymentSchedule3[[#This Row],[PMT NO]]&lt;&gt;"",PaymentSchedule3[[#This Row],[TOTAL PAYMENT]]-PaymentSchedule3[[#This Row],[INTEREST]],"")</f>
        <v>852.03747237301729</v>
      </c>
      <c r="I200" s="7">
        <f>IF(PaymentSchedule3[[#This Row],[PMT NO]]&lt;&gt;"",PaymentSchedule3[[#This Row],[BEGINNING BALANCE]]*(InterestRate/PaymentsPerYear),"")</f>
        <v>639.02605080959086</v>
      </c>
      <c r="J200" s="7">
        <f>IF(PaymentSchedule3[[#This Row],[PMT NO]]&lt;&gt;"",IF(PaymentSchedule3[[#This Row],[SCHEDULED PAYMENT]]+PaymentSchedule3[[#This Row],[EXTRA PAYMENT]]&lt;=PaymentSchedule3[[#This Row],[BEGINNING BALANCE]],PaymentSchedule3[[#This Row],[BEGINNING BALANCE]]-PaymentSchedule3[[#This Row],[PRINCIPAL]],0),"")</f>
        <v>200945.66278328726</v>
      </c>
      <c r="K200" s="7">
        <f>IF(PaymentSchedule3[[#This Row],[PMT NO]]&lt;&gt;"",SUM(INDEX([INTEREST],1,1):PaymentSchedule3[[#This Row],[INTEREST]]),"")</f>
        <v>155301.35104888715</v>
      </c>
    </row>
    <row r="201" spans="2:11">
      <c r="B201" s="4">
        <f>IF(LoanIsGood,IF(ROW()-ROW(PaymentSchedule3[[#Headers],[PMT NO]])&gt;ScheduledNumberOfPayments,"",ROW()-ROW(PaymentSchedule3[[#Headers],[PMT NO]])),"")</f>
        <v>185</v>
      </c>
      <c r="C201" s="5">
        <f>IF(PaymentSchedule3[[#This Row],[PMT NO]]&lt;&gt;"",EOMONTH(LoanStartDate,ROW(PaymentSchedule3[[#This Row],[PMT NO]])-ROW(PaymentSchedule3[[#Headers],[PMT NO]])-2)+DAY(LoanStartDate),"")</f>
        <v>49675</v>
      </c>
      <c r="D201" s="7">
        <f>IF(PaymentSchedule3[[#This Row],[PMT NO]]&lt;&gt;"",IF(ROW()-ROW(PaymentSchedule3[[#Headers],[BEGINNING BALANCE]])=1,LoanAmount,INDEX([ENDING BALANCE],ROW()-ROW(PaymentSchedule3[[#Headers],[BEGINNING BALANCE]])-1)),"")</f>
        <v>200945.66278328726</v>
      </c>
      <c r="E201" s="7">
        <f>IF(PaymentSchedule3[[#This Row],[PMT NO]]&lt;&gt;"",ScheduledPayment,"")</f>
        <v>1491.0635231826082</v>
      </c>
      <c r="F20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1" s="7">
        <f>IF(PaymentSchedule3[[#This Row],[PMT NO]]&lt;&gt;"",PaymentSchedule3[[#This Row],[TOTAL PAYMENT]]-PaymentSchedule3[[#This Row],[INTEREST]],"")</f>
        <v>854.7355910355318</v>
      </c>
      <c r="I201" s="7">
        <f>IF(PaymentSchedule3[[#This Row],[PMT NO]]&lt;&gt;"",PaymentSchedule3[[#This Row],[BEGINNING BALANCE]]*(InterestRate/PaymentsPerYear),"")</f>
        <v>636.32793214707635</v>
      </c>
      <c r="J201" s="7">
        <f>IF(PaymentSchedule3[[#This Row],[PMT NO]]&lt;&gt;"",IF(PaymentSchedule3[[#This Row],[SCHEDULED PAYMENT]]+PaymentSchedule3[[#This Row],[EXTRA PAYMENT]]&lt;=PaymentSchedule3[[#This Row],[BEGINNING BALANCE]],PaymentSchedule3[[#This Row],[BEGINNING BALANCE]]-PaymentSchedule3[[#This Row],[PRINCIPAL]],0),"")</f>
        <v>200090.92719225172</v>
      </c>
      <c r="K201" s="7">
        <f>IF(PaymentSchedule3[[#This Row],[PMT NO]]&lt;&gt;"",SUM(INDEX([INTEREST],1,1):PaymentSchedule3[[#This Row],[INTEREST]]),"")</f>
        <v>155937.67898103423</v>
      </c>
    </row>
    <row r="202" spans="2:11">
      <c r="B202" s="4">
        <f>IF(LoanIsGood,IF(ROW()-ROW(PaymentSchedule3[[#Headers],[PMT NO]])&gt;ScheduledNumberOfPayments,"",ROW()-ROW(PaymentSchedule3[[#Headers],[PMT NO]])),"")</f>
        <v>186</v>
      </c>
      <c r="C202" s="5">
        <f>IF(PaymentSchedule3[[#This Row],[PMT NO]]&lt;&gt;"",EOMONTH(LoanStartDate,ROW(PaymentSchedule3[[#This Row],[PMT NO]])-ROW(PaymentSchedule3[[#Headers],[PMT NO]])-2)+DAY(LoanStartDate),"")</f>
        <v>49706</v>
      </c>
      <c r="D202" s="7">
        <f>IF(PaymentSchedule3[[#This Row],[PMT NO]]&lt;&gt;"",IF(ROW()-ROW(PaymentSchedule3[[#Headers],[BEGINNING BALANCE]])=1,LoanAmount,INDEX([ENDING BALANCE],ROW()-ROW(PaymentSchedule3[[#Headers],[BEGINNING BALANCE]])-1)),"")</f>
        <v>200090.92719225172</v>
      </c>
      <c r="E202" s="7">
        <f>IF(PaymentSchedule3[[#This Row],[PMT NO]]&lt;&gt;"",ScheduledPayment,"")</f>
        <v>1491.0635231826082</v>
      </c>
      <c r="F20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2" s="7">
        <f>IF(PaymentSchedule3[[#This Row],[PMT NO]]&lt;&gt;"",PaymentSchedule3[[#This Row],[TOTAL PAYMENT]]-PaymentSchedule3[[#This Row],[INTEREST]],"")</f>
        <v>857.44225374047767</v>
      </c>
      <c r="I202" s="7">
        <f>IF(PaymentSchedule3[[#This Row],[PMT NO]]&lt;&gt;"",PaymentSchedule3[[#This Row],[BEGINNING BALANCE]]*(InterestRate/PaymentsPerYear),"")</f>
        <v>633.62126944213048</v>
      </c>
      <c r="J202" s="7">
        <f>IF(PaymentSchedule3[[#This Row],[PMT NO]]&lt;&gt;"",IF(PaymentSchedule3[[#This Row],[SCHEDULED PAYMENT]]+PaymentSchedule3[[#This Row],[EXTRA PAYMENT]]&lt;=PaymentSchedule3[[#This Row],[BEGINNING BALANCE]],PaymentSchedule3[[#This Row],[BEGINNING BALANCE]]-PaymentSchedule3[[#This Row],[PRINCIPAL]],0),"")</f>
        <v>199233.48493851125</v>
      </c>
      <c r="K202" s="7">
        <f>IF(PaymentSchedule3[[#This Row],[PMT NO]]&lt;&gt;"",SUM(INDEX([INTEREST],1,1):PaymentSchedule3[[#This Row],[INTEREST]]),"")</f>
        <v>156571.30025047637</v>
      </c>
    </row>
    <row r="203" spans="2:11">
      <c r="B203" s="4">
        <f>IF(LoanIsGood,IF(ROW()-ROW(PaymentSchedule3[[#Headers],[PMT NO]])&gt;ScheduledNumberOfPayments,"",ROW()-ROW(PaymentSchedule3[[#Headers],[PMT NO]])),"")</f>
        <v>187</v>
      </c>
      <c r="C203" s="5">
        <f>IF(PaymentSchedule3[[#This Row],[PMT NO]]&lt;&gt;"",EOMONTH(LoanStartDate,ROW(PaymentSchedule3[[#This Row],[PMT NO]])-ROW(PaymentSchedule3[[#Headers],[PMT NO]])-2)+DAY(LoanStartDate),"")</f>
        <v>49735</v>
      </c>
      <c r="D203" s="7">
        <f>IF(PaymentSchedule3[[#This Row],[PMT NO]]&lt;&gt;"",IF(ROW()-ROW(PaymentSchedule3[[#Headers],[BEGINNING BALANCE]])=1,LoanAmount,INDEX([ENDING BALANCE],ROW()-ROW(PaymentSchedule3[[#Headers],[BEGINNING BALANCE]])-1)),"")</f>
        <v>199233.48493851125</v>
      </c>
      <c r="E203" s="7">
        <f>IF(PaymentSchedule3[[#This Row],[PMT NO]]&lt;&gt;"",ScheduledPayment,"")</f>
        <v>1491.0635231826082</v>
      </c>
      <c r="F20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3" s="7">
        <f>IF(PaymentSchedule3[[#This Row],[PMT NO]]&lt;&gt;"",PaymentSchedule3[[#This Row],[TOTAL PAYMENT]]-PaymentSchedule3[[#This Row],[INTEREST]],"")</f>
        <v>860.15748754398919</v>
      </c>
      <c r="I203" s="7">
        <f>IF(PaymentSchedule3[[#This Row],[PMT NO]]&lt;&gt;"",PaymentSchedule3[[#This Row],[BEGINNING BALANCE]]*(InterestRate/PaymentsPerYear),"")</f>
        <v>630.90603563861896</v>
      </c>
      <c r="J203" s="7">
        <f>IF(PaymentSchedule3[[#This Row],[PMT NO]]&lt;&gt;"",IF(PaymentSchedule3[[#This Row],[SCHEDULED PAYMENT]]+PaymentSchedule3[[#This Row],[EXTRA PAYMENT]]&lt;=PaymentSchedule3[[#This Row],[BEGINNING BALANCE]],PaymentSchedule3[[#This Row],[BEGINNING BALANCE]]-PaymentSchedule3[[#This Row],[PRINCIPAL]],0),"")</f>
        <v>198373.32745096725</v>
      </c>
      <c r="K203" s="7">
        <f>IF(PaymentSchedule3[[#This Row],[PMT NO]]&lt;&gt;"",SUM(INDEX([INTEREST],1,1):PaymentSchedule3[[#This Row],[INTEREST]]),"")</f>
        <v>157202.20628611499</v>
      </c>
    </row>
    <row r="204" spans="2:11">
      <c r="B204" s="4">
        <f>IF(LoanIsGood,IF(ROW()-ROW(PaymentSchedule3[[#Headers],[PMT NO]])&gt;ScheduledNumberOfPayments,"",ROW()-ROW(PaymentSchedule3[[#Headers],[PMT NO]])),"")</f>
        <v>188</v>
      </c>
      <c r="C204" s="5">
        <f>IF(PaymentSchedule3[[#This Row],[PMT NO]]&lt;&gt;"",EOMONTH(LoanStartDate,ROW(PaymentSchedule3[[#This Row],[PMT NO]])-ROW(PaymentSchedule3[[#Headers],[PMT NO]])-2)+DAY(LoanStartDate),"")</f>
        <v>49766</v>
      </c>
      <c r="D204" s="7">
        <f>IF(PaymentSchedule3[[#This Row],[PMT NO]]&lt;&gt;"",IF(ROW()-ROW(PaymentSchedule3[[#Headers],[BEGINNING BALANCE]])=1,LoanAmount,INDEX([ENDING BALANCE],ROW()-ROW(PaymentSchedule3[[#Headers],[BEGINNING BALANCE]])-1)),"")</f>
        <v>198373.32745096725</v>
      </c>
      <c r="E204" s="7">
        <f>IF(PaymentSchedule3[[#This Row],[PMT NO]]&lt;&gt;"",ScheduledPayment,"")</f>
        <v>1491.0635231826082</v>
      </c>
      <c r="F20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4" s="7">
        <f>IF(PaymentSchedule3[[#This Row],[PMT NO]]&lt;&gt;"",PaymentSchedule3[[#This Row],[TOTAL PAYMENT]]-PaymentSchedule3[[#This Row],[INTEREST]],"")</f>
        <v>862.88131958787858</v>
      </c>
      <c r="I204" s="7">
        <f>IF(PaymentSchedule3[[#This Row],[PMT NO]]&lt;&gt;"",PaymentSchedule3[[#This Row],[BEGINNING BALANCE]]*(InterestRate/PaymentsPerYear),"")</f>
        <v>628.18220359472957</v>
      </c>
      <c r="J204" s="7">
        <f>IF(PaymentSchedule3[[#This Row],[PMT NO]]&lt;&gt;"",IF(PaymentSchedule3[[#This Row],[SCHEDULED PAYMENT]]+PaymentSchedule3[[#This Row],[EXTRA PAYMENT]]&lt;=PaymentSchedule3[[#This Row],[BEGINNING BALANCE]],PaymentSchedule3[[#This Row],[BEGINNING BALANCE]]-PaymentSchedule3[[#This Row],[PRINCIPAL]],0),"")</f>
        <v>197510.44613137937</v>
      </c>
      <c r="K204" s="7">
        <f>IF(PaymentSchedule3[[#This Row],[PMT NO]]&lt;&gt;"",SUM(INDEX([INTEREST],1,1):PaymentSchedule3[[#This Row],[INTEREST]]),"")</f>
        <v>157830.38848970973</v>
      </c>
    </row>
    <row r="205" spans="2:11">
      <c r="B205" s="4">
        <f>IF(LoanIsGood,IF(ROW()-ROW(PaymentSchedule3[[#Headers],[PMT NO]])&gt;ScheduledNumberOfPayments,"",ROW()-ROW(PaymentSchedule3[[#Headers],[PMT NO]])),"")</f>
        <v>189</v>
      </c>
      <c r="C205" s="5">
        <f>IF(PaymentSchedule3[[#This Row],[PMT NO]]&lt;&gt;"",EOMONTH(LoanStartDate,ROW(PaymentSchedule3[[#This Row],[PMT NO]])-ROW(PaymentSchedule3[[#Headers],[PMT NO]])-2)+DAY(LoanStartDate),"")</f>
        <v>49796</v>
      </c>
      <c r="D205" s="7">
        <f>IF(PaymentSchedule3[[#This Row],[PMT NO]]&lt;&gt;"",IF(ROW()-ROW(PaymentSchedule3[[#Headers],[BEGINNING BALANCE]])=1,LoanAmount,INDEX([ENDING BALANCE],ROW()-ROW(PaymentSchedule3[[#Headers],[BEGINNING BALANCE]])-1)),"")</f>
        <v>197510.44613137937</v>
      </c>
      <c r="E205" s="7">
        <f>IF(PaymentSchedule3[[#This Row],[PMT NO]]&lt;&gt;"",ScheduledPayment,"")</f>
        <v>1491.0635231826082</v>
      </c>
      <c r="F20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5" s="7">
        <f>IF(PaymentSchedule3[[#This Row],[PMT NO]]&lt;&gt;"",PaymentSchedule3[[#This Row],[TOTAL PAYMENT]]-PaymentSchedule3[[#This Row],[INTEREST]],"")</f>
        <v>865.61377709990677</v>
      </c>
      <c r="I205" s="7">
        <f>IF(PaymentSchedule3[[#This Row],[PMT NO]]&lt;&gt;"",PaymentSchedule3[[#This Row],[BEGINNING BALANCE]]*(InterestRate/PaymentsPerYear),"")</f>
        <v>625.44974608270138</v>
      </c>
      <c r="J205" s="7">
        <f>IF(PaymentSchedule3[[#This Row],[PMT NO]]&lt;&gt;"",IF(PaymentSchedule3[[#This Row],[SCHEDULED PAYMENT]]+PaymentSchedule3[[#This Row],[EXTRA PAYMENT]]&lt;=PaymentSchedule3[[#This Row],[BEGINNING BALANCE]],PaymentSchedule3[[#This Row],[BEGINNING BALANCE]]-PaymentSchedule3[[#This Row],[PRINCIPAL]],0),"")</f>
        <v>196644.83235427947</v>
      </c>
      <c r="K205" s="7">
        <f>IF(PaymentSchedule3[[#This Row],[PMT NO]]&lt;&gt;"",SUM(INDEX([INTEREST],1,1):PaymentSchedule3[[#This Row],[INTEREST]]),"")</f>
        <v>158455.83823579244</v>
      </c>
    </row>
    <row r="206" spans="2:11">
      <c r="B206" s="4">
        <f>IF(LoanIsGood,IF(ROW()-ROW(PaymentSchedule3[[#Headers],[PMT NO]])&gt;ScheduledNumberOfPayments,"",ROW()-ROW(PaymentSchedule3[[#Headers],[PMT NO]])),"")</f>
        <v>190</v>
      </c>
      <c r="C206" s="5">
        <f>IF(PaymentSchedule3[[#This Row],[PMT NO]]&lt;&gt;"",EOMONTH(LoanStartDate,ROW(PaymentSchedule3[[#This Row],[PMT NO]])-ROW(PaymentSchedule3[[#Headers],[PMT NO]])-2)+DAY(LoanStartDate),"")</f>
        <v>49827</v>
      </c>
      <c r="D206" s="7">
        <f>IF(PaymentSchedule3[[#This Row],[PMT NO]]&lt;&gt;"",IF(ROW()-ROW(PaymentSchedule3[[#Headers],[BEGINNING BALANCE]])=1,LoanAmount,INDEX([ENDING BALANCE],ROW()-ROW(PaymentSchedule3[[#Headers],[BEGINNING BALANCE]])-1)),"")</f>
        <v>196644.83235427947</v>
      </c>
      <c r="E206" s="7">
        <f>IF(PaymentSchedule3[[#This Row],[PMT NO]]&lt;&gt;"",ScheduledPayment,"")</f>
        <v>1491.0635231826082</v>
      </c>
      <c r="F20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6" s="7">
        <f>IF(PaymentSchedule3[[#This Row],[PMT NO]]&lt;&gt;"",PaymentSchedule3[[#This Row],[TOTAL PAYMENT]]-PaymentSchedule3[[#This Row],[INTEREST]],"")</f>
        <v>868.3548873940565</v>
      </c>
      <c r="I206" s="7">
        <f>IF(PaymentSchedule3[[#This Row],[PMT NO]]&lt;&gt;"",PaymentSchedule3[[#This Row],[BEGINNING BALANCE]]*(InterestRate/PaymentsPerYear),"")</f>
        <v>622.70863578855165</v>
      </c>
      <c r="J206" s="7">
        <f>IF(PaymentSchedule3[[#This Row],[PMT NO]]&lt;&gt;"",IF(PaymentSchedule3[[#This Row],[SCHEDULED PAYMENT]]+PaymentSchedule3[[#This Row],[EXTRA PAYMENT]]&lt;=PaymentSchedule3[[#This Row],[BEGINNING BALANCE]],PaymentSchedule3[[#This Row],[BEGINNING BALANCE]]-PaymentSchedule3[[#This Row],[PRINCIPAL]],0),"")</f>
        <v>195776.47746688541</v>
      </c>
      <c r="K206" s="7">
        <f>IF(PaymentSchedule3[[#This Row],[PMT NO]]&lt;&gt;"",SUM(INDEX([INTEREST],1,1):PaymentSchedule3[[#This Row],[INTEREST]]),"")</f>
        <v>159078.546871581</v>
      </c>
    </row>
    <row r="207" spans="2:11">
      <c r="B207" s="4">
        <f>IF(LoanIsGood,IF(ROW()-ROW(PaymentSchedule3[[#Headers],[PMT NO]])&gt;ScheduledNumberOfPayments,"",ROW()-ROW(PaymentSchedule3[[#Headers],[PMT NO]])),"")</f>
        <v>191</v>
      </c>
      <c r="C207" s="5">
        <f>IF(PaymentSchedule3[[#This Row],[PMT NO]]&lt;&gt;"",EOMONTH(LoanStartDate,ROW(PaymentSchedule3[[#This Row],[PMT NO]])-ROW(PaymentSchedule3[[#Headers],[PMT NO]])-2)+DAY(LoanStartDate),"")</f>
        <v>49857</v>
      </c>
      <c r="D207" s="7">
        <f>IF(PaymentSchedule3[[#This Row],[PMT NO]]&lt;&gt;"",IF(ROW()-ROW(PaymentSchedule3[[#Headers],[BEGINNING BALANCE]])=1,LoanAmount,INDEX([ENDING BALANCE],ROW()-ROW(PaymentSchedule3[[#Headers],[BEGINNING BALANCE]])-1)),"")</f>
        <v>195776.47746688541</v>
      </c>
      <c r="E207" s="7">
        <f>IF(PaymentSchedule3[[#This Row],[PMT NO]]&lt;&gt;"",ScheduledPayment,"")</f>
        <v>1491.0635231826082</v>
      </c>
      <c r="F20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7" s="7">
        <f>IF(PaymentSchedule3[[#This Row],[PMT NO]]&lt;&gt;"",PaymentSchedule3[[#This Row],[TOTAL PAYMENT]]-PaymentSchedule3[[#This Row],[INTEREST]],"")</f>
        <v>871.10467787080438</v>
      </c>
      <c r="I207" s="7">
        <f>IF(PaymentSchedule3[[#This Row],[PMT NO]]&lt;&gt;"",PaymentSchedule3[[#This Row],[BEGINNING BALANCE]]*(InterestRate/PaymentsPerYear),"")</f>
        <v>619.95884531180377</v>
      </c>
      <c r="J207" s="7">
        <f>IF(PaymentSchedule3[[#This Row],[PMT NO]]&lt;&gt;"",IF(PaymentSchedule3[[#This Row],[SCHEDULED PAYMENT]]+PaymentSchedule3[[#This Row],[EXTRA PAYMENT]]&lt;=PaymentSchedule3[[#This Row],[BEGINNING BALANCE]],PaymentSchedule3[[#This Row],[BEGINNING BALANCE]]-PaymentSchedule3[[#This Row],[PRINCIPAL]],0),"")</f>
        <v>194905.3727890146</v>
      </c>
      <c r="K207" s="7">
        <f>IF(PaymentSchedule3[[#This Row],[PMT NO]]&lt;&gt;"",SUM(INDEX([INTEREST],1,1):PaymentSchedule3[[#This Row],[INTEREST]]),"")</f>
        <v>159698.5057168928</v>
      </c>
    </row>
    <row r="208" spans="2:11">
      <c r="B208" s="4">
        <f>IF(LoanIsGood,IF(ROW()-ROW(PaymentSchedule3[[#Headers],[PMT NO]])&gt;ScheduledNumberOfPayments,"",ROW()-ROW(PaymentSchedule3[[#Headers],[PMT NO]])),"")</f>
        <v>192</v>
      </c>
      <c r="C208" s="5">
        <f>IF(PaymentSchedule3[[#This Row],[PMT NO]]&lt;&gt;"",EOMONTH(LoanStartDate,ROW(PaymentSchedule3[[#This Row],[PMT NO]])-ROW(PaymentSchedule3[[#Headers],[PMT NO]])-2)+DAY(LoanStartDate),"")</f>
        <v>49888</v>
      </c>
      <c r="D208" s="7">
        <f>IF(PaymentSchedule3[[#This Row],[PMT NO]]&lt;&gt;"",IF(ROW()-ROW(PaymentSchedule3[[#Headers],[BEGINNING BALANCE]])=1,LoanAmount,INDEX([ENDING BALANCE],ROW()-ROW(PaymentSchedule3[[#Headers],[BEGINNING BALANCE]])-1)),"")</f>
        <v>194905.3727890146</v>
      </c>
      <c r="E208" s="7">
        <f>IF(PaymentSchedule3[[#This Row],[PMT NO]]&lt;&gt;"",ScheduledPayment,"")</f>
        <v>1491.0635231826082</v>
      </c>
      <c r="F20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8" s="7">
        <f>IF(PaymentSchedule3[[#This Row],[PMT NO]]&lt;&gt;"",PaymentSchedule3[[#This Row],[TOTAL PAYMENT]]-PaymentSchedule3[[#This Row],[INTEREST]],"")</f>
        <v>873.86317601739529</v>
      </c>
      <c r="I208" s="7">
        <f>IF(PaymentSchedule3[[#This Row],[PMT NO]]&lt;&gt;"",PaymentSchedule3[[#This Row],[BEGINNING BALANCE]]*(InterestRate/PaymentsPerYear),"")</f>
        <v>617.20034716521286</v>
      </c>
      <c r="J208" s="7">
        <f>IF(PaymentSchedule3[[#This Row],[PMT NO]]&lt;&gt;"",IF(PaymentSchedule3[[#This Row],[SCHEDULED PAYMENT]]+PaymentSchedule3[[#This Row],[EXTRA PAYMENT]]&lt;=PaymentSchedule3[[#This Row],[BEGINNING BALANCE]],PaymentSchedule3[[#This Row],[BEGINNING BALANCE]]-PaymentSchedule3[[#This Row],[PRINCIPAL]],0),"")</f>
        <v>194031.50961299721</v>
      </c>
      <c r="K208" s="7">
        <f>IF(PaymentSchedule3[[#This Row],[PMT NO]]&lt;&gt;"",SUM(INDEX([INTEREST],1,1):PaymentSchedule3[[#This Row],[INTEREST]]),"")</f>
        <v>160315.706064058</v>
      </c>
    </row>
    <row r="209" spans="2:11">
      <c r="B209" s="4">
        <f>IF(LoanIsGood,IF(ROW()-ROW(PaymentSchedule3[[#Headers],[PMT NO]])&gt;ScheduledNumberOfPayments,"",ROW()-ROW(PaymentSchedule3[[#Headers],[PMT NO]])),"")</f>
        <v>193</v>
      </c>
      <c r="C209" s="5">
        <f>IF(PaymentSchedule3[[#This Row],[PMT NO]]&lt;&gt;"",EOMONTH(LoanStartDate,ROW(PaymentSchedule3[[#This Row],[PMT NO]])-ROW(PaymentSchedule3[[#Headers],[PMT NO]])-2)+DAY(LoanStartDate),"")</f>
        <v>49919</v>
      </c>
      <c r="D209" s="7">
        <f>IF(PaymentSchedule3[[#This Row],[PMT NO]]&lt;&gt;"",IF(ROW()-ROW(PaymentSchedule3[[#Headers],[BEGINNING BALANCE]])=1,LoanAmount,INDEX([ENDING BALANCE],ROW()-ROW(PaymentSchedule3[[#Headers],[BEGINNING BALANCE]])-1)),"")</f>
        <v>194031.50961299721</v>
      </c>
      <c r="E209" s="7">
        <f>IF(PaymentSchedule3[[#This Row],[PMT NO]]&lt;&gt;"",ScheduledPayment,"")</f>
        <v>1491.0635231826082</v>
      </c>
      <c r="F20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09" s="7">
        <f>IF(PaymentSchedule3[[#This Row],[PMT NO]]&lt;&gt;"",PaymentSchedule3[[#This Row],[TOTAL PAYMENT]]-PaymentSchedule3[[#This Row],[INTEREST]],"")</f>
        <v>876.63040940811698</v>
      </c>
      <c r="I209" s="7">
        <f>IF(PaymentSchedule3[[#This Row],[PMT NO]]&lt;&gt;"",PaymentSchedule3[[#This Row],[BEGINNING BALANCE]]*(InterestRate/PaymentsPerYear),"")</f>
        <v>614.43311377449118</v>
      </c>
      <c r="J209" s="7">
        <f>IF(PaymentSchedule3[[#This Row],[PMT NO]]&lt;&gt;"",IF(PaymentSchedule3[[#This Row],[SCHEDULED PAYMENT]]+PaymentSchedule3[[#This Row],[EXTRA PAYMENT]]&lt;=PaymentSchedule3[[#This Row],[BEGINNING BALANCE]],PaymentSchedule3[[#This Row],[BEGINNING BALANCE]]-PaymentSchedule3[[#This Row],[PRINCIPAL]],0),"")</f>
        <v>193154.87920358908</v>
      </c>
      <c r="K209" s="7">
        <f>IF(PaymentSchedule3[[#This Row],[PMT NO]]&lt;&gt;"",SUM(INDEX([INTEREST],1,1):PaymentSchedule3[[#This Row],[INTEREST]]),"")</f>
        <v>160930.13917783249</v>
      </c>
    </row>
    <row r="210" spans="2:11">
      <c r="B210" s="4">
        <f>IF(LoanIsGood,IF(ROW()-ROW(PaymentSchedule3[[#Headers],[PMT NO]])&gt;ScheduledNumberOfPayments,"",ROW()-ROW(PaymentSchedule3[[#Headers],[PMT NO]])),"")</f>
        <v>194</v>
      </c>
      <c r="C210" s="5">
        <f>IF(PaymentSchedule3[[#This Row],[PMT NO]]&lt;&gt;"",EOMONTH(LoanStartDate,ROW(PaymentSchedule3[[#This Row],[PMT NO]])-ROW(PaymentSchedule3[[#Headers],[PMT NO]])-2)+DAY(LoanStartDate),"")</f>
        <v>49949</v>
      </c>
      <c r="D210" s="7">
        <f>IF(PaymentSchedule3[[#This Row],[PMT NO]]&lt;&gt;"",IF(ROW()-ROW(PaymentSchedule3[[#Headers],[BEGINNING BALANCE]])=1,LoanAmount,INDEX([ENDING BALANCE],ROW()-ROW(PaymentSchedule3[[#Headers],[BEGINNING BALANCE]])-1)),"")</f>
        <v>193154.87920358908</v>
      </c>
      <c r="E210" s="7">
        <f>IF(PaymentSchedule3[[#This Row],[PMT NO]]&lt;&gt;"",ScheduledPayment,"")</f>
        <v>1491.0635231826082</v>
      </c>
      <c r="F21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0" s="7">
        <f>IF(PaymentSchedule3[[#This Row],[PMT NO]]&lt;&gt;"",PaymentSchedule3[[#This Row],[TOTAL PAYMENT]]-PaymentSchedule3[[#This Row],[INTEREST]],"")</f>
        <v>879.40640570457606</v>
      </c>
      <c r="I210" s="7">
        <f>IF(PaymentSchedule3[[#This Row],[PMT NO]]&lt;&gt;"",PaymentSchedule3[[#This Row],[BEGINNING BALANCE]]*(InterestRate/PaymentsPerYear),"")</f>
        <v>611.65711747803209</v>
      </c>
      <c r="J210" s="7">
        <f>IF(PaymentSchedule3[[#This Row],[PMT NO]]&lt;&gt;"",IF(PaymentSchedule3[[#This Row],[SCHEDULED PAYMENT]]+PaymentSchedule3[[#This Row],[EXTRA PAYMENT]]&lt;=PaymentSchedule3[[#This Row],[BEGINNING BALANCE]],PaymentSchedule3[[#This Row],[BEGINNING BALANCE]]-PaymentSchedule3[[#This Row],[PRINCIPAL]],0),"")</f>
        <v>192275.47279788452</v>
      </c>
      <c r="K210" s="7">
        <f>IF(PaymentSchedule3[[#This Row],[PMT NO]]&lt;&gt;"",SUM(INDEX([INTEREST],1,1):PaymentSchedule3[[#This Row],[INTEREST]]),"")</f>
        <v>161541.79629531052</v>
      </c>
    </row>
    <row r="211" spans="2:11">
      <c r="B211" s="4">
        <f>IF(LoanIsGood,IF(ROW()-ROW(PaymentSchedule3[[#Headers],[PMT NO]])&gt;ScheduledNumberOfPayments,"",ROW()-ROW(PaymentSchedule3[[#Headers],[PMT NO]])),"")</f>
        <v>195</v>
      </c>
      <c r="C211" s="5">
        <f>IF(PaymentSchedule3[[#This Row],[PMT NO]]&lt;&gt;"",EOMONTH(LoanStartDate,ROW(PaymentSchedule3[[#This Row],[PMT NO]])-ROW(PaymentSchedule3[[#Headers],[PMT NO]])-2)+DAY(LoanStartDate),"")</f>
        <v>49980</v>
      </c>
      <c r="D211" s="7">
        <f>IF(PaymentSchedule3[[#This Row],[PMT NO]]&lt;&gt;"",IF(ROW()-ROW(PaymentSchedule3[[#Headers],[BEGINNING BALANCE]])=1,LoanAmount,INDEX([ENDING BALANCE],ROW()-ROW(PaymentSchedule3[[#Headers],[BEGINNING BALANCE]])-1)),"")</f>
        <v>192275.47279788452</v>
      </c>
      <c r="E211" s="7">
        <f>IF(PaymentSchedule3[[#This Row],[PMT NO]]&lt;&gt;"",ScheduledPayment,"")</f>
        <v>1491.0635231826082</v>
      </c>
      <c r="F21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1" s="7">
        <f>IF(PaymentSchedule3[[#This Row],[PMT NO]]&lt;&gt;"",PaymentSchedule3[[#This Row],[TOTAL PAYMENT]]-PaymentSchedule3[[#This Row],[INTEREST]],"")</f>
        <v>882.19119265597385</v>
      </c>
      <c r="I211" s="7">
        <f>IF(PaymentSchedule3[[#This Row],[PMT NO]]&lt;&gt;"",PaymentSchedule3[[#This Row],[BEGINNING BALANCE]]*(InterestRate/PaymentsPerYear),"")</f>
        <v>608.8723305266343</v>
      </c>
      <c r="J211" s="7">
        <f>IF(PaymentSchedule3[[#This Row],[PMT NO]]&lt;&gt;"",IF(PaymentSchedule3[[#This Row],[SCHEDULED PAYMENT]]+PaymentSchedule3[[#This Row],[EXTRA PAYMENT]]&lt;=PaymentSchedule3[[#This Row],[BEGINNING BALANCE]],PaymentSchedule3[[#This Row],[BEGINNING BALANCE]]-PaymentSchedule3[[#This Row],[PRINCIPAL]],0),"")</f>
        <v>191393.28160522855</v>
      </c>
      <c r="K211" s="7">
        <f>IF(PaymentSchedule3[[#This Row],[PMT NO]]&lt;&gt;"",SUM(INDEX([INTEREST],1,1):PaymentSchedule3[[#This Row],[INTEREST]]),"")</f>
        <v>162150.66862583716</v>
      </c>
    </row>
    <row r="212" spans="2:11">
      <c r="B212" s="4">
        <f>IF(LoanIsGood,IF(ROW()-ROW(PaymentSchedule3[[#Headers],[PMT NO]])&gt;ScheduledNumberOfPayments,"",ROW()-ROW(PaymentSchedule3[[#Headers],[PMT NO]])),"")</f>
        <v>196</v>
      </c>
      <c r="C212" s="5">
        <f>IF(PaymentSchedule3[[#This Row],[PMT NO]]&lt;&gt;"",EOMONTH(LoanStartDate,ROW(PaymentSchedule3[[#This Row],[PMT NO]])-ROW(PaymentSchedule3[[#Headers],[PMT NO]])-2)+DAY(LoanStartDate),"")</f>
        <v>50010</v>
      </c>
      <c r="D212" s="7">
        <f>IF(PaymentSchedule3[[#This Row],[PMT NO]]&lt;&gt;"",IF(ROW()-ROW(PaymentSchedule3[[#Headers],[BEGINNING BALANCE]])=1,LoanAmount,INDEX([ENDING BALANCE],ROW()-ROW(PaymentSchedule3[[#Headers],[BEGINNING BALANCE]])-1)),"")</f>
        <v>191393.28160522855</v>
      </c>
      <c r="E212" s="7">
        <f>IF(PaymentSchedule3[[#This Row],[PMT NO]]&lt;&gt;"",ScheduledPayment,"")</f>
        <v>1491.0635231826082</v>
      </c>
      <c r="F21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2" s="7">
        <f>IF(PaymentSchedule3[[#This Row],[PMT NO]]&lt;&gt;"",PaymentSchedule3[[#This Row],[TOTAL PAYMENT]]-PaymentSchedule3[[#This Row],[INTEREST]],"")</f>
        <v>884.98479809938442</v>
      </c>
      <c r="I212" s="7">
        <f>IF(PaymentSchedule3[[#This Row],[PMT NO]]&lt;&gt;"",PaymentSchedule3[[#This Row],[BEGINNING BALANCE]]*(InterestRate/PaymentsPerYear),"")</f>
        <v>606.07872508322373</v>
      </c>
      <c r="J212" s="7">
        <f>IF(PaymentSchedule3[[#This Row],[PMT NO]]&lt;&gt;"",IF(PaymentSchedule3[[#This Row],[SCHEDULED PAYMENT]]+PaymentSchedule3[[#This Row],[EXTRA PAYMENT]]&lt;=PaymentSchedule3[[#This Row],[BEGINNING BALANCE]],PaymentSchedule3[[#This Row],[BEGINNING BALANCE]]-PaymentSchedule3[[#This Row],[PRINCIPAL]],0),"")</f>
        <v>190508.29680712917</v>
      </c>
      <c r="K212" s="7">
        <f>IF(PaymentSchedule3[[#This Row],[PMT NO]]&lt;&gt;"",SUM(INDEX([INTEREST],1,1):PaymentSchedule3[[#This Row],[INTEREST]]),"")</f>
        <v>162756.7473509204</v>
      </c>
    </row>
    <row r="213" spans="2:11">
      <c r="B213" s="4">
        <f>IF(LoanIsGood,IF(ROW()-ROW(PaymentSchedule3[[#Headers],[PMT NO]])&gt;ScheduledNumberOfPayments,"",ROW()-ROW(PaymentSchedule3[[#Headers],[PMT NO]])),"")</f>
        <v>197</v>
      </c>
      <c r="C213" s="5">
        <f>IF(PaymentSchedule3[[#This Row],[PMT NO]]&lt;&gt;"",EOMONTH(LoanStartDate,ROW(PaymentSchedule3[[#This Row],[PMT NO]])-ROW(PaymentSchedule3[[#Headers],[PMT NO]])-2)+DAY(LoanStartDate),"")</f>
        <v>50041</v>
      </c>
      <c r="D213" s="7">
        <f>IF(PaymentSchedule3[[#This Row],[PMT NO]]&lt;&gt;"",IF(ROW()-ROW(PaymentSchedule3[[#Headers],[BEGINNING BALANCE]])=1,LoanAmount,INDEX([ENDING BALANCE],ROW()-ROW(PaymentSchedule3[[#Headers],[BEGINNING BALANCE]])-1)),"")</f>
        <v>190508.29680712917</v>
      </c>
      <c r="E213" s="7">
        <f>IF(PaymentSchedule3[[#This Row],[PMT NO]]&lt;&gt;"",ScheduledPayment,"")</f>
        <v>1491.0635231826082</v>
      </c>
      <c r="F21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3" s="7">
        <f>IF(PaymentSchedule3[[#This Row],[PMT NO]]&lt;&gt;"",PaymentSchedule3[[#This Row],[TOTAL PAYMENT]]-PaymentSchedule3[[#This Row],[INTEREST]],"")</f>
        <v>887.78724996003245</v>
      </c>
      <c r="I213" s="7">
        <f>IF(PaymentSchedule3[[#This Row],[PMT NO]]&lt;&gt;"",PaymentSchedule3[[#This Row],[BEGINNING BALANCE]]*(InterestRate/PaymentsPerYear),"")</f>
        <v>603.2762732225757</v>
      </c>
      <c r="J213" s="7">
        <f>IF(PaymentSchedule3[[#This Row],[PMT NO]]&lt;&gt;"",IF(PaymentSchedule3[[#This Row],[SCHEDULED PAYMENT]]+PaymentSchedule3[[#This Row],[EXTRA PAYMENT]]&lt;=PaymentSchedule3[[#This Row],[BEGINNING BALANCE]],PaymentSchedule3[[#This Row],[BEGINNING BALANCE]]-PaymentSchedule3[[#This Row],[PRINCIPAL]],0),"")</f>
        <v>189620.50955716913</v>
      </c>
      <c r="K213" s="7">
        <f>IF(PaymentSchedule3[[#This Row],[PMT NO]]&lt;&gt;"",SUM(INDEX([INTEREST],1,1):PaymentSchedule3[[#This Row],[INTEREST]]),"")</f>
        <v>163360.02362414298</v>
      </c>
    </row>
    <row r="214" spans="2:11">
      <c r="B214" s="4">
        <f>IF(LoanIsGood,IF(ROW()-ROW(PaymentSchedule3[[#Headers],[PMT NO]])&gt;ScheduledNumberOfPayments,"",ROW()-ROW(PaymentSchedule3[[#Headers],[PMT NO]])),"")</f>
        <v>198</v>
      </c>
      <c r="C214" s="5">
        <f>IF(PaymentSchedule3[[#This Row],[PMT NO]]&lt;&gt;"",EOMONTH(LoanStartDate,ROW(PaymentSchedule3[[#This Row],[PMT NO]])-ROW(PaymentSchedule3[[#Headers],[PMT NO]])-2)+DAY(LoanStartDate),"")</f>
        <v>50072</v>
      </c>
      <c r="D214" s="7">
        <f>IF(PaymentSchedule3[[#This Row],[PMT NO]]&lt;&gt;"",IF(ROW()-ROW(PaymentSchedule3[[#Headers],[BEGINNING BALANCE]])=1,LoanAmount,INDEX([ENDING BALANCE],ROW()-ROW(PaymentSchedule3[[#Headers],[BEGINNING BALANCE]])-1)),"")</f>
        <v>189620.50955716913</v>
      </c>
      <c r="E214" s="7">
        <f>IF(PaymentSchedule3[[#This Row],[PMT NO]]&lt;&gt;"",ScheduledPayment,"")</f>
        <v>1491.0635231826082</v>
      </c>
      <c r="F21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4" s="7">
        <f>IF(PaymentSchedule3[[#This Row],[PMT NO]]&lt;&gt;"",PaymentSchedule3[[#This Row],[TOTAL PAYMENT]]-PaymentSchedule3[[#This Row],[INTEREST]],"")</f>
        <v>890.59857625157258</v>
      </c>
      <c r="I214" s="7">
        <f>IF(PaymentSchedule3[[#This Row],[PMT NO]]&lt;&gt;"",PaymentSchedule3[[#This Row],[BEGINNING BALANCE]]*(InterestRate/PaymentsPerYear),"")</f>
        <v>600.46494693103557</v>
      </c>
      <c r="J214" s="7">
        <f>IF(PaymentSchedule3[[#This Row],[PMT NO]]&lt;&gt;"",IF(PaymentSchedule3[[#This Row],[SCHEDULED PAYMENT]]+PaymentSchedule3[[#This Row],[EXTRA PAYMENT]]&lt;=PaymentSchedule3[[#This Row],[BEGINNING BALANCE]],PaymentSchedule3[[#This Row],[BEGINNING BALANCE]]-PaymentSchedule3[[#This Row],[PRINCIPAL]],0),"")</f>
        <v>188729.91098091757</v>
      </c>
      <c r="K214" s="7">
        <f>IF(PaymentSchedule3[[#This Row],[PMT NO]]&lt;&gt;"",SUM(INDEX([INTEREST],1,1):PaymentSchedule3[[#This Row],[INTEREST]]),"")</f>
        <v>163960.48857107401</v>
      </c>
    </row>
    <row r="215" spans="2:11">
      <c r="B215" s="4">
        <f>IF(LoanIsGood,IF(ROW()-ROW(PaymentSchedule3[[#Headers],[PMT NO]])&gt;ScheduledNumberOfPayments,"",ROW()-ROW(PaymentSchedule3[[#Headers],[PMT NO]])),"")</f>
        <v>199</v>
      </c>
      <c r="C215" s="5">
        <f>IF(PaymentSchedule3[[#This Row],[PMT NO]]&lt;&gt;"",EOMONTH(LoanStartDate,ROW(PaymentSchedule3[[#This Row],[PMT NO]])-ROW(PaymentSchedule3[[#Headers],[PMT NO]])-2)+DAY(LoanStartDate),"")</f>
        <v>50100</v>
      </c>
      <c r="D215" s="7">
        <f>IF(PaymentSchedule3[[#This Row],[PMT NO]]&lt;&gt;"",IF(ROW()-ROW(PaymentSchedule3[[#Headers],[BEGINNING BALANCE]])=1,LoanAmount,INDEX([ENDING BALANCE],ROW()-ROW(PaymentSchedule3[[#Headers],[BEGINNING BALANCE]])-1)),"")</f>
        <v>188729.91098091757</v>
      </c>
      <c r="E215" s="7">
        <f>IF(PaymentSchedule3[[#This Row],[PMT NO]]&lt;&gt;"",ScheduledPayment,"")</f>
        <v>1491.0635231826082</v>
      </c>
      <c r="F21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5" s="7">
        <f>IF(PaymentSchedule3[[#This Row],[PMT NO]]&lt;&gt;"",PaymentSchedule3[[#This Row],[TOTAL PAYMENT]]-PaymentSchedule3[[#This Row],[INTEREST]],"")</f>
        <v>893.41880507636915</v>
      </c>
      <c r="I215" s="7">
        <f>IF(PaymentSchedule3[[#This Row],[PMT NO]]&lt;&gt;"",PaymentSchedule3[[#This Row],[BEGINNING BALANCE]]*(InterestRate/PaymentsPerYear),"")</f>
        <v>597.644718106239</v>
      </c>
      <c r="J215" s="7">
        <f>IF(PaymentSchedule3[[#This Row],[PMT NO]]&lt;&gt;"",IF(PaymentSchedule3[[#This Row],[SCHEDULED PAYMENT]]+PaymentSchedule3[[#This Row],[EXTRA PAYMENT]]&lt;=PaymentSchedule3[[#This Row],[BEGINNING BALANCE]],PaymentSchedule3[[#This Row],[BEGINNING BALANCE]]-PaymentSchedule3[[#This Row],[PRINCIPAL]],0),"")</f>
        <v>187836.49217584121</v>
      </c>
      <c r="K215" s="7">
        <f>IF(PaymentSchedule3[[#This Row],[PMT NO]]&lt;&gt;"",SUM(INDEX([INTEREST],1,1):PaymentSchedule3[[#This Row],[INTEREST]]),"")</f>
        <v>164558.13328918023</v>
      </c>
    </row>
    <row r="216" spans="2:11">
      <c r="B216" s="4">
        <f>IF(LoanIsGood,IF(ROW()-ROW(PaymentSchedule3[[#Headers],[PMT NO]])&gt;ScheduledNumberOfPayments,"",ROW()-ROW(PaymentSchedule3[[#Headers],[PMT NO]])),"")</f>
        <v>200</v>
      </c>
      <c r="C216" s="5">
        <f>IF(PaymentSchedule3[[#This Row],[PMT NO]]&lt;&gt;"",EOMONTH(LoanStartDate,ROW(PaymentSchedule3[[#This Row],[PMT NO]])-ROW(PaymentSchedule3[[#Headers],[PMT NO]])-2)+DAY(LoanStartDate),"")</f>
        <v>50131</v>
      </c>
      <c r="D216" s="7">
        <f>IF(PaymentSchedule3[[#This Row],[PMT NO]]&lt;&gt;"",IF(ROW()-ROW(PaymentSchedule3[[#Headers],[BEGINNING BALANCE]])=1,LoanAmount,INDEX([ENDING BALANCE],ROW()-ROW(PaymentSchedule3[[#Headers],[BEGINNING BALANCE]])-1)),"")</f>
        <v>187836.49217584121</v>
      </c>
      <c r="E216" s="7">
        <f>IF(PaymentSchedule3[[#This Row],[PMT NO]]&lt;&gt;"",ScheduledPayment,"")</f>
        <v>1491.0635231826082</v>
      </c>
      <c r="F21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6" s="7">
        <f>IF(PaymentSchedule3[[#This Row],[PMT NO]]&lt;&gt;"",PaymentSchedule3[[#This Row],[TOTAL PAYMENT]]-PaymentSchedule3[[#This Row],[INTEREST]],"")</f>
        <v>896.24796462577763</v>
      </c>
      <c r="I216" s="7">
        <f>IF(PaymentSchedule3[[#This Row],[PMT NO]]&lt;&gt;"",PaymentSchedule3[[#This Row],[BEGINNING BALANCE]]*(InterestRate/PaymentsPerYear),"")</f>
        <v>594.81555855683052</v>
      </c>
      <c r="J216" s="7">
        <f>IF(PaymentSchedule3[[#This Row],[PMT NO]]&lt;&gt;"",IF(PaymentSchedule3[[#This Row],[SCHEDULED PAYMENT]]+PaymentSchedule3[[#This Row],[EXTRA PAYMENT]]&lt;=PaymentSchedule3[[#This Row],[BEGINNING BALANCE]],PaymentSchedule3[[#This Row],[BEGINNING BALANCE]]-PaymentSchedule3[[#This Row],[PRINCIPAL]],0),"")</f>
        <v>186940.24421121544</v>
      </c>
      <c r="K216" s="7">
        <f>IF(PaymentSchedule3[[#This Row],[PMT NO]]&lt;&gt;"",SUM(INDEX([INTEREST],1,1):PaymentSchedule3[[#This Row],[INTEREST]]),"")</f>
        <v>165152.94884773705</v>
      </c>
    </row>
    <row r="217" spans="2:11">
      <c r="B217" s="4">
        <f>IF(LoanIsGood,IF(ROW()-ROW(PaymentSchedule3[[#Headers],[PMT NO]])&gt;ScheduledNumberOfPayments,"",ROW()-ROW(PaymentSchedule3[[#Headers],[PMT NO]])),"")</f>
        <v>201</v>
      </c>
      <c r="C217" s="5">
        <f>IF(PaymentSchedule3[[#This Row],[PMT NO]]&lt;&gt;"",EOMONTH(LoanStartDate,ROW(PaymentSchedule3[[#This Row],[PMT NO]])-ROW(PaymentSchedule3[[#Headers],[PMT NO]])-2)+DAY(LoanStartDate),"")</f>
        <v>50161</v>
      </c>
      <c r="D217" s="7">
        <f>IF(PaymentSchedule3[[#This Row],[PMT NO]]&lt;&gt;"",IF(ROW()-ROW(PaymentSchedule3[[#Headers],[BEGINNING BALANCE]])=1,LoanAmount,INDEX([ENDING BALANCE],ROW()-ROW(PaymentSchedule3[[#Headers],[BEGINNING BALANCE]])-1)),"")</f>
        <v>186940.24421121544</v>
      </c>
      <c r="E217" s="7">
        <f>IF(PaymentSchedule3[[#This Row],[PMT NO]]&lt;&gt;"",ScheduledPayment,"")</f>
        <v>1491.0635231826082</v>
      </c>
      <c r="F21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7" s="7">
        <f>IF(PaymentSchedule3[[#This Row],[PMT NO]]&lt;&gt;"",PaymentSchedule3[[#This Row],[TOTAL PAYMENT]]-PaymentSchedule3[[#This Row],[INTEREST]],"")</f>
        <v>899.08608318042593</v>
      </c>
      <c r="I217" s="7">
        <f>IF(PaymentSchedule3[[#This Row],[PMT NO]]&lt;&gt;"",PaymentSchedule3[[#This Row],[BEGINNING BALANCE]]*(InterestRate/PaymentsPerYear),"")</f>
        <v>591.97744000218222</v>
      </c>
      <c r="J217" s="7">
        <f>IF(PaymentSchedule3[[#This Row],[PMT NO]]&lt;&gt;"",IF(PaymentSchedule3[[#This Row],[SCHEDULED PAYMENT]]+PaymentSchedule3[[#This Row],[EXTRA PAYMENT]]&lt;=PaymentSchedule3[[#This Row],[BEGINNING BALANCE]],PaymentSchedule3[[#This Row],[BEGINNING BALANCE]]-PaymentSchedule3[[#This Row],[PRINCIPAL]],0),"")</f>
        <v>186041.15812803502</v>
      </c>
      <c r="K217" s="7">
        <f>IF(PaymentSchedule3[[#This Row],[PMT NO]]&lt;&gt;"",SUM(INDEX([INTEREST],1,1):PaymentSchedule3[[#This Row],[INTEREST]]),"")</f>
        <v>165744.92628773922</v>
      </c>
    </row>
    <row r="218" spans="2:11">
      <c r="B218" s="4">
        <f>IF(LoanIsGood,IF(ROW()-ROW(PaymentSchedule3[[#Headers],[PMT NO]])&gt;ScheduledNumberOfPayments,"",ROW()-ROW(PaymentSchedule3[[#Headers],[PMT NO]])),"")</f>
        <v>202</v>
      </c>
      <c r="C218" s="5">
        <f>IF(PaymentSchedule3[[#This Row],[PMT NO]]&lt;&gt;"",EOMONTH(LoanStartDate,ROW(PaymentSchedule3[[#This Row],[PMT NO]])-ROW(PaymentSchedule3[[#Headers],[PMT NO]])-2)+DAY(LoanStartDate),"")</f>
        <v>50192</v>
      </c>
      <c r="D218" s="7">
        <f>IF(PaymentSchedule3[[#This Row],[PMT NO]]&lt;&gt;"",IF(ROW()-ROW(PaymentSchedule3[[#Headers],[BEGINNING BALANCE]])=1,LoanAmount,INDEX([ENDING BALANCE],ROW()-ROW(PaymentSchedule3[[#Headers],[BEGINNING BALANCE]])-1)),"")</f>
        <v>186041.15812803502</v>
      </c>
      <c r="E218" s="7">
        <f>IF(PaymentSchedule3[[#This Row],[PMT NO]]&lt;&gt;"",ScheduledPayment,"")</f>
        <v>1491.0635231826082</v>
      </c>
      <c r="F21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8" s="7">
        <f>IF(PaymentSchedule3[[#This Row],[PMT NO]]&lt;&gt;"",PaymentSchedule3[[#This Row],[TOTAL PAYMENT]]-PaymentSchedule3[[#This Row],[INTEREST]],"")</f>
        <v>901.93318911049721</v>
      </c>
      <c r="I218" s="7">
        <f>IF(PaymentSchedule3[[#This Row],[PMT NO]]&lt;&gt;"",PaymentSchedule3[[#This Row],[BEGINNING BALANCE]]*(InterestRate/PaymentsPerYear),"")</f>
        <v>589.13033407211094</v>
      </c>
      <c r="J218" s="7">
        <f>IF(PaymentSchedule3[[#This Row],[PMT NO]]&lt;&gt;"",IF(PaymentSchedule3[[#This Row],[SCHEDULED PAYMENT]]+PaymentSchedule3[[#This Row],[EXTRA PAYMENT]]&lt;=PaymentSchedule3[[#This Row],[BEGINNING BALANCE]],PaymentSchedule3[[#This Row],[BEGINNING BALANCE]]-PaymentSchedule3[[#This Row],[PRINCIPAL]],0),"")</f>
        <v>185139.22493892451</v>
      </c>
      <c r="K218" s="7">
        <f>IF(PaymentSchedule3[[#This Row],[PMT NO]]&lt;&gt;"",SUM(INDEX([INTEREST],1,1):PaymentSchedule3[[#This Row],[INTEREST]]),"")</f>
        <v>166334.05662181132</v>
      </c>
    </row>
    <row r="219" spans="2:11">
      <c r="B219" s="4">
        <f>IF(LoanIsGood,IF(ROW()-ROW(PaymentSchedule3[[#Headers],[PMT NO]])&gt;ScheduledNumberOfPayments,"",ROW()-ROW(PaymentSchedule3[[#Headers],[PMT NO]])),"")</f>
        <v>203</v>
      </c>
      <c r="C219" s="5">
        <f>IF(PaymentSchedule3[[#This Row],[PMT NO]]&lt;&gt;"",EOMONTH(LoanStartDate,ROW(PaymentSchedule3[[#This Row],[PMT NO]])-ROW(PaymentSchedule3[[#Headers],[PMT NO]])-2)+DAY(LoanStartDate),"")</f>
        <v>50222</v>
      </c>
      <c r="D219" s="7">
        <f>IF(PaymentSchedule3[[#This Row],[PMT NO]]&lt;&gt;"",IF(ROW()-ROW(PaymentSchedule3[[#Headers],[BEGINNING BALANCE]])=1,LoanAmount,INDEX([ENDING BALANCE],ROW()-ROW(PaymentSchedule3[[#Headers],[BEGINNING BALANCE]])-1)),"")</f>
        <v>185139.22493892451</v>
      </c>
      <c r="E219" s="7">
        <f>IF(PaymentSchedule3[[#This Row],[PMT NO]]&lt;&gt;"",ScheduledPayment,"")</f>
        <v>1491.0635231826082</v>
      </c>
      <c r="F21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19" s="7">
        <f>IF(PaymentSchedule3[[#This Row],[PMT NO]]&lt;&gt;"",PaymentSchedule3[[#This Row],[TOTAL PAYMENT]]-PaymentSchedule3[[#This Row],[INTEREST]],"")</f>
        <v>904.78931087601393</v>
      </c>
      <c r="I219" s="7">
        <f>IF(PaymentSchedule3[[#This Row],[PMT NO]]&lt;&gt;"",PaymentSchedule3[[#This Row],[BEGINNING BALANCE]]*(InterestRate/PaymentsPerYear),"")</f>
        <v>586.27421230659422</v>
      </c>
      <c r="J219" s="7">
        <f>IF(PaymentSchedule3[[#This Row],[PMT NO]]&lt;&gt;"",IF(PaymentSchedule3[[#This Row],[SCHEDULED PAYMENT]]+PaymentSchedule3[[#This Row],[EXTRA PAYMENT]]&lt;=PaymentSchedule3[[#This Row],[BEGINNING BALANCE]],PaymentSchedule3[[#This Row],[BEGINNING BALANCE]]-PaymentSchedule3[[#This Row],[PRINCIPAL]],0),"")</f>
        <v>184234.43562804849</v>
      </c>
      <c r="K219" s="7">
        <f>IF(PaymentSchedule3[[#This Row],[PMT NO]]&lt;&gt;"",SUM(INDEX([INTEREST],1,1):PaymentSchedule3[[#This Row],[INTEREST]]),"")</f>
        <v>166920.33083411792</v>
      </c>
    </row>
    <row r="220" spans="2:11">
      <c r="B220" s="4">
        <f>IF(LoanIsGood,IF(ROW()-ROW(PaymentSchedule3[[#Headers],[PMT NO]])&gt;ScheduledNumberOfPayments,"",ROW()-ROW(PaymentSchedule3[[#Headers],[PMT NO]])),"")</f>
        <v>204</v>
      </c>
      <c r="C220" s="5">
        <f>IF(PaymentSchedule3[[#This Row],[PMT NO]]&lt;&gt;"",EOMONTH(LoanStartDate,ROW(PaymentSchedule3[[#This Row],[PMT NO]])-ROW(PaymentSchedule3[[#Headers],[PMT NO]])-2)+DAY(LoanStartDate),"")</f>
        <v>50253</v>
      </c>
      <c r="D220" s="7">
        <f>IF(PaymentSchedule3[[#This Row],[PMT NO]]&lt;&gt;"",IF(ROW()-ROW(PaymentSchedule3[[#Headers],[BEGINNING BALANCE]])=1,LoanAmount,INDEX([ENDING BALANCE],ROW()-ROW(PaymentSchedule3[[#Headers],[BEGINNING BALANCE]])-1)),"")</f>
        <v>184234.43562804849</v>
      </c>
      <c r="E220" s="7">
        <f>IF(PaymentSchedule3[[#This Row],[PMT NO]]&lt;&gt;"",ScheduledPayment,"")</f>
        <v>1491.0635231826082</v>
      </c>
      <c r="F22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0" s="7">
        <f>IF(PaymentSchedule3[[#This Row],[PMT NO]]&lt;&gt;"",PaymentSchedule3[[#This Row],[TOTAL PAYMENT]]-PaymentSchedule3[[#This Row],[INTEREST]],"")</f>
        <v>907.65447702712129</v>
      </c>
      <c r="I220" s="7">
        <f>IF(PaymentSchedule3[[#This Row],[PMT NO]]&lt;&gt;"",PaymentSchedule3[[#This Row],[BEGINNING BALANCE]]*(InterestRate/PaymentsPerYear),"")</f>
        <v>583.40904615548686</v>
      </c>
      <c r="J220" s="7">
        <f>IF(PaymentSchedule3[[#This Row],[PMT NO]]&lt;&gt;"",IF(PaymentSchedule3[[#This Row],[SCHEDULED PAYMENT]]+PaymentSchedule3[[#This Row],[EXTRA PAYMENT]]&lt;=PaymentSchedule3[[#This Row],[BEGINNING BALANCE]],PaymentSchedule3[[#This Row],[BEGINNING BALANCE]]-PaymentSchedule3[[#This Row],[PRINCIPAL]],0),"")</f>
        <v>183326.78115102137</v>
      </c>
      <c r="K220" s="7">
        <f>IF(PaymentSchedule3[[#This Row],[PMT NO]]&lt;&gt;"",SUM(INDEX([INTEREST],1,1):PaymentSchedule3[[#This Row],[INTEREST]]),"")</f>
        <v>167503.73988027341</v>
      </c>
    </row>
    <row r="221" spans="2:11">
      <c r="B221" s="4">
        <f>IF(LoanIsGood,IF(ROW()-ROW(PaymentSchedule3[[#Headers],[PMT NO]])&gt;ScheduledNumberOfPayments,"",ROW()-ROW(PaymentSchedule3[[#Headers],[PMT NO]])),"")</f>
        <v>205</v>
      </c>
      <c r="C221" s="5">
        <f>IF(PaymentSchedule3[[#This Row],[PMT NO]]&lt;&gt;"",EOMONTH(LoanStartDate,ROW(PaymentSchedule3[[#This Row],[PMT NO]])-ROW(PaymentSchedule3[[#Headers],[PMT NO]])-2)+DAY(LoanStartDate),"")</f>
        <v>50284</v>
      </c>
      <c r="D221" s="7">
        <f>IF(PaymentSchedule3[[#This Row],[PMT NO]]&lt;&gt;"",IF(ROW()-ROW(PaymentSchedule3[[#Headers],[BEGINNING BALANCE]])=1,LoanAmount,INDEX([ENDING BALANCE],ROW()-ROW(PaymentSchedule3[[#Headers],[BEGINNING BALANCE]])-1)),"")</f>
        <v>183326.78115102137</v>
      </c>
      <c r="E221" s="7">
        <f>IF(PaymentSchedule3[[#This Row],[PMT NO]]&lt;&gt;"",ScheduledPayment,"")</f>
        <v>1491.0635231826082</v>
      </c>
      <c r="F22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1" s="7">
        <f>IF(PaymentSchedule3[[#This Row],[PMT NO]]&lt;&gt;"",PaymentSchedule3[[#This Row],[TOTAL PAYMENT]]-PaymentSchedule3[[#This Row],[INTEREST]],"")</f>
        <v>910.52871620437384</v>
      </c>
      <c r="I221" s="7">
        <f>IF(PaymentSchedule3[[#This Row],[PMT NO]]&lt;&gt;"",PaymentSchedule3[[#This Row],[BEGINNING BALANCE]]*(InterestRate/PaymentsPerYear),"")</f>
        <v>580.53480697823431</v>
      </c>
      <c r="J221" s="7">
        <f>IF(PaymentSchedule3[[#This Row],[PMT NO]]&lt;&gt;"",IF(PaymentSchedule3[[#This Row],[SCHEDULED PAYMENT]]+PaymentSchedule3[[#This Row],[EXTRA PAYMENT]]&lt;=PaymentSchedule3[[#This Row],[BEGINNING BALANCE]],PaymentSchedule3[[#This Row],[BEGINNING BALANCE]]-PaymentSchedule3[[#This Row],[PRINCIPAL]],0),"")</f>
        <v>182416.252434817</v>
      </c>
      <c r="K221" s="7">
        <f>IF(PaymentSchedule3[[#This Row],[PMT NO]]&lt;&gt;"",SUM(INDEX([INTEREST],1,1):PaymentSchedule3[[#This Row],[INTEREST]]),"")</f>
        <v>168084.27468725166</v>
      </c>
    </row>
    <row r="222" spans="2:11">
      <c r="B222" s="4">
        <f>IF(LoanIsGood,IF(ROW()-ROW(PaymentSchedule3[[#Headers],[PMT NO]])&gt;ScheduledNumberOfPayments,"",ROW()-ROW(PaymentSchedule3[[#Headers],[PMT NO]])),"")</f>
        <v>206</v>
      </c>
      <c r="C222" s="5">
        <f>IF(PaymentSchedule3[[#This Row],[PMT NO]]&lt;&gt;"",EOMONTH(LoanStartDate,ROW(PaymentSchedule3[[#This Row],[PMT NO]])-ROW(PaymentSchedule3[[#Headers],[PMT NO]])-2)+DAY(LoanStartDate),"")</f>
        <v>50314</v>
      </c>
      <c r="D222" s="7">
        <f>IF(PaymentSchedule3[[#This Row],[PMT NO]]&lt;&gt;"",IF(ROW()-ROW(PaymentSchedule3[[#Headers],[BEGINNING BALANCE]])=1,LoanAmount,INDEX([ENDING BALANCE],ROW()-ROW(PaymentSchedule3[[#Headers],[BEGINNING BALANCE]])-1)),"")</f>
        <v>182416.252434817</v>
      </c>
      <c r="E222" s="7">
        <f>IF(PaymentSchedule3[[#This Row],[PMT NO]]&lt;&gt;"",ScheduledPayment,"")</f>
        <v>1491.0635231826082</v>
      </c>
      <c r="F22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2" s="7">
        <f>IF(PaymentSchedule3[[#This Row],[PMT NO]]&lt;&gt;"",PaymentSchedule3[[#This Row],[TOTAL PAYMENT]]-PaymentSchedule3[[#This Row],[INTEREST]],"")</f>
        <v>913.41205713902104</v>
      </c>
      <c r="I222" s="7">
        <f>IF(PaymentSchedule3[[#This Row],[PMT NO]]&lt;&gt;"",PaymentSchedule3[[#This Row],[BEGINNING BALANCE]]*(InterestRate/PaymentsPerYear),"")</f>
        <v>577.65146604358711</v>
      </c>
      <c r="J222" s="7">
        <f>IF(PaymentSchedule3[[#This Row],[PMT NO]]&lt;&gt;"",IF(PaymentSchedule3[[#This Row],[SCHEDULED PAYMENT]]+PaymentSchedule3[[#This Row],[EXTRA PAYMENT]]&lt;=PaymentSchedule3[[#This Row],[BEGINNING BALANCE]],PaymentSchedule3[[#This Row],[BEGINNING BALANCE]]-PaymentSchedule3[[#This Row],[PRINCIPAL]],0),"")</f>
        <v>181502.84037767799</v>
      </c>
      <c r="K222" s="7">
        <f>IF(PaymentSchedule3[[#This Row],[PMT NO]]&lt;&gt;"",SUM(INDEX([INTEREST],1,1):PaymentSchedule3[[#This Row],[INTEREST]]),"")</f>
        <v>168661.92615329524</v>
      </c>
    </row>
    <row r="223" spans="2:11">
      <c r="B223" s="4">
        <f>IF(LoanIsGood,IF(ROW()-ROW(PaymentSchedule3[[#Headers],[PMT NO]])&gt;ScheduledNumberOfPayments,"",ROW()-ROW(PaymentSchedule3[[#Headers],[PMT NO]])),"")</f>
        <v>207</v>
      </c>
      <c r="C223" s="5">
        <f>IF(PaymentSchedule3[[#This Row],[PMT NO]]&lt;&gt;"",EOMONTH(LoanStartDate,ROW(PaymentSchedule3[[#This Row],[PMT NO]])-ROW(PaymentSchedule3[[#Headers],[PMT NO]])-2)+DAY(LoanStartDate),"")</f>
        <v>50345</v>
      </c>
      <c r="D223" s="7">
        <f>IF(PaymentSchedule3[[#This Row],[PMT NO]]&lt;&gt;"",IF(ROW()-ROW(PaymentSchedule3[[#Headers],[BEGINNING BALANCE]])=1,LoanAmount,INDEX([ENDING BALANCE],ROW()-ROW(PaymentSchedule3[[#Headers],[BEGINNING BALANCE]])-1)),"")</f>
        <v>181502.84037767799</v>
      </c>
      <c r="E223" s="7">
        <f>IF(PaymentSchedule3[[#This Row],[PMT NO]]&lt;&gt;"",ScheduledPayment,"")</f>
        <v>1491.0635231826082</v>
      </c>
      <c r="F22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3" s="7">
        <f>IF(PaymentSchedule3[[#This Row],[PMT NO]]&lt;&gt;"",PaymentSchedule3[[#This Row],[TOTAL PAYMENT]]-PaymentSchedule3[[#This Row],[INTEREST]],"")</f>
        <v>916.30452865329448</v>
      </c>
      <c r="I223" s="7">
        <f>IF(PaymentSchedule3[[#This Row],[PMT NO]]&lt;&gt;"",PaymentSchedule3[[#This Row],[BEGINNING BALANCE]]*(InterestRate/PaymentsPerYear),"")</f>
        <v>574.75899452931367</v>
      </c>
      <c r="J223" s="7">
        <f>IF(PaymentSchedule3[[#This Row],[PMT NO]]&lt;&gt;"",IF(PaymentSchedule3[[#This Row],[SCHEDULED PAYMENT]]+PaymentSchedule3[[#This Row],[EXTRA PAYMENT]]&lt;=PaymentSchedule3[[#This Row],[BEGINNING BALANCE]],PaymentSchedule3[[#This Row],[BEGINNING BALANCE]]-PaymentSchedule3[[#This Row],[PRINCIPAL]],0),"")</f>
        <v>180586.53584902469</v>
      </c>
      <c r="K223" s="7">
        <f>IF(PaymentSchedule3[[#This Row],[PMT NO]]&lt;&gt;"",SUM(INDEX([INTEREST],1,1):PaymentSchedule3[[#This Row],[INTEREST]]),"")</f>
        <v>169236.68514782455</v>
      </c>
    </row>
    <row r="224" spans="2:11">
      <c r="B224" s="4">
        <f>IF(LoanIsGood,IF(ROW()-ROW(PaymentSchedule3[[#Headers],[PMT NO]])&gt;ScheduledNumberOfPayments,"",ROW()-ROW(PaymentSchedule3[[#Headers],[PMT NO]])),"")</f>
        <v>208</v>
      </c>
      <c r="C224" s="5">
        <f>IF(PaymentSchedule3[[#This Row],[PMT NO]]&lt;&gt;"",EOMONTH(LoanStartDate,ROW(PaymentSchedule3[[#This Row],[PMT NO]])-ROW(PaymentSchedule3[[#Headers],[PMT NO]])-2)+DAY(LoanStartDate),"")</f>
        <v>50375</v>
      </c>
      <c r="D224" s="7">
        <f>IF(PaymentSchedule3[[#This Row],[PMT NO]]&lt;&gt;"",IF(ROW()-ROW(PaymentSchedule3[[#Headers],[BEGINNING BALANCE]])=1,LoanAmount,INDEX([ENDING BALANCE],ROW()-ROW(PaymentSchedule3[[#Headers],[BEGINNING BALANCE]])-1)),"")</f>
        <v>180586.53584902469</v>
      </c>
      <c r="E224" s="7">
        <f>IF(PaymentSchedule3[[#This Row],[PMT NO]]&lt;&gt;"",ScheduledPayment,"")</f>
        <v>1491.0635231826082</v>
      </c>
      <c r="F22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4" s="7">
        <f>IF(PaymentSchedule3[[#This Row],[PMT NO]]&lt;&gt;"",PaymentSchedule3[[#This Row],[TOTAL PAYMENT]]-PaymentSchedule3[[#This Row],[INTEREST]],"")</f>
        <v>919.2061596606967</v>
      </c>
      <c r="I224" s="7">
        <f>IF(PaymentSchedule3[[#This Row],[PMT NO]]&lt;&gt;"",PaymentSchedule3[[#This Row],[BEGINNING BALANCE]]*(InterestRate/PaymentsPerYear),"")</f>
        <v>571.85736352191145</v>
      </c>
      <c r="J224" s="7">
        <f>IF(PaymentSchedule3[[#This Row],[PMT NO]]&lt;&gt;"",IF(PaymentSchedule3[[#This Row],[SCHEDULED PAYMENT]]+PaymentSchedule3[[#This Row],[EXTRA PAYMENT]]&lt;=PaymentSchedule3[[#This Row],[BEGINNING BALANCE]],PaymentSchedule3[[#This Row],[BEGINNING BALANCE]]-PaymentSchedule3[[#This Row],[PRINCIPAL]],0),"")</f>
        <v>179667.32968936398</v>
      </c>
      <c r="K224" s="7">
        <f>IF(PaymentSchedule3[[#This Row],[PMT NO]]&lt;&gt;"",SUM(INDEX([INTEREST],1,1):PaymentSchedule3[[#This Row],[INTEREST]]),"")</f>
        <v>169808.54251134646</v>
      </c>
    </row>
    <row r="225" spans="2:11">
      <c r="B225" s="4">
        <f>IF(LoanIsGood,IF(ROW()-ROW(PaymentSchedule3[[#Headers],[PMT NO]])&gt;ScheduledNumberOfPayments,"",ROW()-ROW(PaymentSchedule3[[#Headers],[PMT NO]])),"")</f>
        <v>209</v>
      </c>
      <c r="C225" s="5">
        <f>IF(PaymentSchedule3[[#This Row],[PMT NO]]&lt;&gt;"",EOMONTH(LoanStartDate,ROW(PaymentSchedule3[[#This Row],[PMT NO]])-ROW(PaymentSchedule3[[#Headers],[PMT NO]])-2)+DAY(LoanStartDate),"")</f>
        <v>50406</v>
      </c>
      <c r="D225" s="7">
        <f>IF(PaymentSchedule3[[#This Row],[PMT NO]]&lt;&gt;"",IF(ROW()-ROW(PaymentSchedule3[[#Headers],[BEGINNING BALANCE]])=1,LoanAmount,INDEX([ENDING BALANCE],ROW()-ROW(PaymentSchedule3[[#Headers],[BEGINNING BALANCE]])-1)),"")</f>
        <v>179667.32968936398</v>
      </c>
      <c r="E225" s="7">
        <f>IF(PaymentSchedule3[[#This Row],[PMT NO]]&lt;&gt;"",ScheduledPayment,"")</f>
        <v>1491.0635231826082</v>
      </c>
      <c r="F22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5" s="7">
        <f>IF(PaymentSchedule3[[#This Row],[PMT NO]]&lt;&gt;"",PaymentSchedule3[[#This Row],[TOTAL PAYMENT]]-PaymentSchedule3[[#This Row],[INTEREST]],"")</f>
        <v>922.11697916628896</v>
      </c>
      <c r="I225" s="7">
        <f>IF(PaymentSchedule3[[#This Row],[PMT NO]]&lt;&gt;"",PaymentSchedule3[[#This Row],[BEGINNING BALANCE]]*(InterestRate/PaymentsPerYear),"")</f>
        <v>568.94654401631919</v>
      </c>
      <c r="J225" s="7">
        <f>IF(PaymentSchedule3[[#This Row],[PMT NO]]&lt;&gt;"",IF(PaymentSchedule3[[#This Row],[SCHEDULED PAYMENT]]+PaymentSchedule3[[#This Row],[EXTRA PAYMENT]]&lt;=PaymentSchedule3[[#This Row],[BEGINNING BALANCE]],PaymentSchedule3[[#This Row],[BEGINNING BALANCE]]-PaymentSchedule3[[#This Row],[PRINCIPAL]],0),"")</f>
        <v>178745.21271019769</v>
      </c>
      <c r="K225" s="7">
        <f>IF(PaymentSchedule3[[#This Row],[PMT NO]]&lt;&gt;"",SUM(INDEX([INTEREST],1,1):PaymentSchedule3[[#This Row],[INTEREST]]),"")</f>
        <v>170377.48905536279</v>
      </c>
    </row>
    <row r="226" spans="2:11">
      <c r="B226" s="4">
        <f>IF(LoanIsGood,IF(ROW()-ROW(PaymentSchedule3[[#Headers],[PMT NO]])&gt;ScheduledNumberOfPayments,"",ROW()-ROW(PaymentSchedule3[[#Headers],[PMT NO]])),"")</f>
        <v>210</v>
      </c>
      <c r="C226" s="5">
        <f>IF(PaymentSchedule3[[#This Row],[PMT NO]]&lt;&gt;"",EOMONTH(LoanStartDate,ROW(PaymentSchedule3[[#This Row],[PMT NO]])-ROW(PaymentSchedule3[[#Headers],[PMT NO]])-2)+DAY(LoanStartDate),"")</f>
        <v>50437</v>
      </c>
      <c r="D226" s="7">
        <f>IF(PaymentSchedule3[[#This Row],[PMT NO]]&lt;&gt;"",IF(ROW()-ROW(PaymentSchedule3[[#Headers],[BEGINNING BALANCE]])=1,LoanAmount,INDEX([ENDING BALANCE],ROW()-ROW(PaymentSchedule3[[#Headers],[BEGINNING BALANCE]])-1)),"")</f>
        <v>178745.21271019769</v>
      </c>
      <c r="E226" s="7">
        <f>IF(PaymentSchedule3[[#This Row],[PMT NO]]&lt;&gt;"",ScheduledPayment,"")</f>
        <v>1491.0635231826082</v>
      </c>
      <c r="F22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6" s="7">
        <f>IF(PaymentSchedule3[[#This Row],[PMT NO]]&lt;&gt;"",PaymentSchedule3[[#This Row],[TOTAL PAYMENT]]-PaymentSchedule3[[#This Row],[INTEREST]],"")</f>
        <v>925.03701626698216</v>
      </c>
      <c r="I226" s="7">
        <f>IF(PaymentSchedule3[[#This Row],[PMT NO]]&lt;&gt;"",PaymentSchedule3[[#This Row],[BEGINNING BALANCE]]*(InterestRate/PaymentsPerYear),"")</f>
        <v>566.02650691562599</v>
      </c>
      <c r="J226" s="7">
        <f>IF(PaymentSchedule3[[#This Row],[PMT NO]]&lt;&gt;"",IF(PaymentSchedule3[[#This Row],[SCHEDULED PAYMENT]]+PaymentSchedule3[[#This Row],[EXTRA PAYMENT]]&lt;=PaymentSchedule3[[#This Row],[BEGINNING BALANCE]],PaymentSchedule3[[#This Row],[BEGINNING BALANCE]]-PaymentSchedule3[[#This Row],[PRINCIPAL]],0),"")</f>
        <v>177820.17569393071</v>
      </c>
      <c r="K226" s="7">
        <f>IF(PaymentSchedule3[[#This Row],[PMT NO]]&lt;&gt;"",SUM(INDEX([INTEREST],1,1):PaymentSchedule3[[#This Row],[INTEREST]]),"")</f>
        <v>170943.51556227842</v>
      </c>
    </row>
    <row r="227" spans="2:11">
      <c r="B227" s="4">
        <f>IF(LoanIsGood,IF(ROW()-ROW(PaymentSchedule3[[#Headers],[PMT NO]])&gt;ScheduledNumberOfPayments,"",ROW()-ROW(PaymentSchedule3[[#Headers],[PMT NO]])),"")</f>
        <v>211</v>
      </c>
      <c r="C227" s="5">
        <f>IF(PaymentSchedule3[[#This Row],[PMT NO]]&lt;&gt;"",EOMONTH(LoanStartDate,ROW(PaymentSchedule3[[#This Row],[PMT NO]])-ROW(PaymentSchedule3[[#Headers],[PMT NO]])-2)+DAY(LoanStartDate),"")</f>
        <v>50465</v>
      </c>
      <c r="D227" s="7">
        <f>IF(PaymentSchedule3[[#This Row],[PMT NO]]&lt;&gt;"",IF(ROW()-ROW(PaymentSchedule3[[#Headers],[BEGINNING BALANCE]])=1,LoanAmount,INDEX([ENDING BALANCE],ROW()-ROW(PaymentSchedule3[[#Headers],[BEGINNING BALANCE]])-1)),"")</f>
        <v>177820.17569393071</v>
      </c>
      <c r="E227" s="7">
        <f>IF(PaymentSchedule3[[#This Row],[PMT NO]]&lt;&gt;"",ScheduledPayment,"")</f>
        <v>1491.0635231826082</v>
      </c>
      <c r="F22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7" s="7">
        <f>IF(PaymentSchedule3[[#This Row],[PMT NO]]&lt;&gt;"",PaymentSchedule3[[#This Row],[TOTAL PAYMENT]]-PaymentSchedule3[[#This Row],[INTEREST]],"")</f>
        <v>927.96630015182757</v>
      </c>
      <c r="I227" s="7">
        <f>IF(PaymentSchedule3[[#This Row],[PMT NO]]&lt;&gt;"",PaymentSchedule3[[#This Row],[BEGINNING BALANCE]]*(InterestRate/PaymentsPerYear),"")</f>
        <v>563.09722303078058</v>
      </c>
      <c r="J227" s="7">
        <f>IF(PaymentSchedule3[[#This Row],[PMT NO]]&lt;&gt;"",IF(PaymentSchedule3[[#This Row],[SCHEDULED PAYMENT]]+PaymentSchedule3[[#This Row],[EXTRA PAYMENT]]&lt;=PaymentSchedule3[[#This Row],[BEGINNING BALANCE]],PaymentSchedule3[[#This Row],[BEGINNING BALANCE]]-PaymentSchedule3[[#This Row],[PRINCIPAL]],0),"")</f>
        <v>176892.20939377887</v>
      </c>
      <c r="K227" s="7">
        <f>IF(PaymentSchedule3[[#This Row],[PMT NO]]&lt;&gt;"",SUM(INDEX([INTEREST],1,1):PaymentSchedule3[[#This Row],[INTEREST]]),"")</f>
        <v>171506.6127853092</v>
      </c>
    </row>
    <row r="228" spans="2:11">
      <c r="B228" s="4">
        <f>IF(LoanIsGood,IF(ROW()-ROW(PaymentSchedule3[[#Headers],[PMT NO]])&gt;ScheduledNumberOfPayments,"",ROW()-ROW(PaymentSchedule3[[#Headers],[PMT NO]])),"")</f>
        <v>212</v>
      </c>
      <c r="C228" s="5">
        <f>IF(PaymentSchedule3[[#This Row],[PMT NO]]&lt;&gt;"",EOMONTH(LoanStartDate,ROW(PaymentSchedule3[[#This Row],[PMT NO]])-ROW(PaymentSchedule3[[#Headers],[PMT NO]])-2)+DAY(LoanStartDate),"")</f>
        <v>50496</v>
      </c>
      <c r="D228" s="7">
        <f>IF(PaymentSchedule3[[#This Row],[PMT NO]]&lt;&gt;"",IF(ROW()-ROW(PaymentSchedule3[[#Headers],[BEGINNING BALANCE]])=1,LoanAmount,INDEX([ENDING BALANCE],ROW()-ROW(PaymentSchedule3[[#Headers],[BEGINNING BALANCE]])-1)),"")</f>
        <v>176892.20939377887</v>
      </c>
      <c r="E228" s="7">
        <f>IF(PaymentSchedule3[[#This Row],[PMT NO]]&lt;&gt;"",ScheduledPayment,"")</f>
        <v>1491.0635231826082</v>
      </c>
      <c r="F22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8" s="7">
        <f>IF(PaymentSchedule3[[#This Row],[PMT NO]]&lt;&gt;"",PaymentSchedule3[[#This Row],[TOTAL PAYMENT]]-PaymentSchedule3[[#This Row],[INTEREST]],"")</f>
        <v>930.90486010230836</v>
      </c>
      <c r="I228" s="7">
        <f>IF(PaymentSchedule3[[#This Row],[PMT NO]]&lt;&gt;"",PaymentSchedule3[[#This Row],[BEGINNING BALANCE]]*(InterestRate/PaymentsPerYear),"")</f>
        <v>560.15866308029979</v>
      </c>
      <c r="J228" s="7">
        <f>IF(PaymentSchedule3[[#This Row],[PMT NO]]&lt;&gt;"",IF(PaymentSchedule3[[#This Row],[SCHEDULED PAYMENT]]+PaymentSchedule3[[#This Row],[EXTRA PAYMENT]]&lt;=PaymentSchedule3[[#This Row],[BEGINNING BALANCE]],PaymentSchedule3[[#This Row],[BEGINNING BALANCE]]-PaymentSchedule3[[#This Row],[PRINCIPAL]],0),"")</f>
        <v>175961.30453367656</v>
      </c>
      <c r="K228" s="7">
        <f>IF(PaymentSchedule3[[#This Row],[PMT NO]]&lt;&gt;"",SUM(INDEX([INTEREST],1,1):PaymentSchedule3[[#This Row],[INTEREST]]),"")</f>
        <v>172066.77144838951</v>
      </c>
    </row>
    <row r="229" spans="2:11">
      <c r="B229" s="4">
        <f>IF(LoanIsGood,IF(ROW()-ROW(PaymentSchedule3[[#Headers],[PMT NO]])&gt;ScheduledNumberOfPayments,"",ROW()-ROW(PaymentSchedule3[[#Headers],[PMT NO]])),"")</f>
        <v>213</v>
      </c>
      <c r="C229" s="5">
        <f>IF(PaymentSchedule3[[#This Row],[PMT NO]]&lt;&gt;"",EOMONTH(LoanStartDate,ROW(PaymentSchedule3[[#This Row],[PMT NO]])-ROW(PaymentSchedule3[[#Headers],[PMT NO]])-2)+DAY(LoanStartDate),"")</f>
        <v>50526</v>
      </c>
      <c r="D229" s="7">
        <f>IF(PaymentSchedule3[[#This Row],[PMT NO]]&lt;&gt;"",IF(ROW()-ROW(PaymentSchedule3[[#Headers],[BEGINNING BALANCE]])=1,LoanAmount,INDEX([ENDING BALANCE],ROW()-ROW(PaymentSchedule3[[#Headers],[BEGINNING BALANCE]])-1)),"")</f>
        <v>175961.30453367656</v>
      </c>
      <c r="E229" s="7">
        <f>IF(PaymentSchedule3[[#This Row],[PMT NO]]&lt;&gt;"",ScheduledPayment,"")</f>
        <v>1491.0635231826082</v>
      </c>
      <c r="F22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29" s="7">
        <f>IF(PaymentSchedule3[[#This Row],[PMT NO]]&lt;&gt;"",PaymentSchedule3[[#This Row],[TOTAL PAYMENT]]-PaymentSchedule3[[#This Row],[INTEREST]],"")</f>
        <v>933.85272549263243</v>
      </c>
      <c r="I229" s="7">
        <f>IF(PaymentSchedule3[[#This Row],[PMT NO]]&lt;&gt;"",PaymentSchedule3[[#This Row],[BEGINNING BALANCE]]*(InterestRate/PaymentsPerYear),"")</f>
        <v>557.21079768997572</v>
      </c>
      <c r="J229" s="7">
        <f>IF(PaymentSchedule3[[#This Row],[PMT NO]]&lt;&gt;"",IF(PaymentSchedule3[[#This Row],[SCHEDULED PAYMENT]]+PaymentSchedule3[[#This Row],[EXTRA PAYMENT]]&lt;=PaymentSchedule3[[#This Row],[BEGINNING BALANCE]],PaymentSchedule3[[#This Row],[BEGINNING BALANCE]]-PaymentSchedule3[[#This Row],[PRINCIPAL]],0),"")</f>
        <v>175027.45180818392</v>
      </c>
      <c r="K229" s="7">
        <f>IF(PaymentSchedule3[[#This Row],[PMT NO]]&lt;&gt;"",SUM(INDEX([INTEREST],1,1):PaymentSchedule3[[#This Row],[INTEREST]]),"")</f>
        <v>172623.98224607948</v>
      </c>
    </row>
    <row r="230" spans="2:11">
      <c r="B230" s="4">
        <f>IF(LoanIsGood,IF(ROW()-ROW(PaymentSchedule3[[#Headers],[PMT NO]])&gt;ScheduledNumberOfPayments,"",ROW()-ROW(PaymentSchedule3[[#Headers],[PMT NO]])),"")</f>
        <v>214</v>
      </c>
      <c r="C230" s="5">
        <f>IF(PaymentSchedule3[[#This Row],[PMT NO]]&lt;&gt;"",EOMONTH(LoanStartDate,ROW(PaymentSchedule3[[#This Row],[PMT NO]])-ROW(PaymentSchedule3[[#Headers],[PMT NO]])-2)+DAY(LoanStartDate),"")</f>
        <v>50557</v>
      </c>
      <c r="D230" s="7">
        <f>IF(PaymentSchedule3[[#This Row],[PMT NO]]&lt;&gt;"",IF(ROW()-ROW(PaymentSchedule3[[#Headers],[BEGINNING BALANCE]])=1,LoanAmount,INDEX([ENDING BALANCE],ROW()-ROW(PaymentSchedule3[[#Headers],[BEGINNING BALANCE]])-1)),"")</f>
        <v>175027.45180818392</v>
      </c>
      <c r="E230" s="7">
        <f>IF(PaymentSchedule3[[#This Row],[PMT NO]]&lt;&gt;"",ScheduledPayment,"")</f>
        <v>1491.0635231826082</v>
      </c>
      <c r="F23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0" s="7">
        <f>IF(PaymentSchedule3[[#This Row],[PMT NO]]&lt;&gt;"",PaymentSchedule3[[#This Row],[TOTAL PAYMENT]]-PaymentSchedule3[[#This Row],[INTEREST]],"")</f>
        <v>936.80992579002577</v>
      </c>
      <c r="I230" s="7">
        <f>IF(PaymentSchedule3[[#This Row],[PMT NO]]&lt;&gt;"",PaymentSchedule3[[#This Row],[BEGINNING BALANCE]]*(InterestRate/PaymentsPerYear),"")</f>
        <v>554.25359739258238</v>
      </c>
      <c r="J230" s="7">
        <f>IF(PaymentSchedule3[[#This Row],[PMT NO]]&lt;&gt;"",IF(PaymentSchedule3[[#This Row],[SCHEDULED PAYMENT]]+PaymentSchedule3[[#This Row],[EXTRA PAYMENT]]&lt;=PaymentSchedule3[[#This Row],[BEGINNING BALANCE]],PaymentSchedule3[[#This Row],[BEGINNING BALANCE]]-PaymentSchedule3[[#This Row],[PRINCIPAL]],0),"")</f>
        <v>174090.64188239389</v>
      </c>
      <c r="K230" s="7">
        <f>IF(PaymentSchedule3[[#This Row],[PMT NO]]&lt;&gt;"",SUM(INDEX([INTEREST],1,1):PaymentSchedule3[[#This Row],[INTEREST]]),"")</f>
        <v>173178.23584347207</v>
      </c>
    </row>
    <row r="231" spans="2:11">
      <c r="B231" s="4">
        <f>IF(LoanIsGood,IF(ROW()-ROW(PaymentSchedule3[[#Headers],[PMT NO]])&gt;ScheduledNumberOfPayments,"",ROW()-ROW(PaymentSchedule3[[#Headers],[PMT NO]])),"")</f>
        <v>215</v>
      </c>
      <c r="C231" s="5">
        <f>IF(PaymentSchedule3[[#This Row],[PMT NO]]&lt;&gt;"",EOMONTH(LoanStartDate,ROW(PaymentSchedule3[[#This Row],[PMT NO]])-ROW(PaymentSchedule3[[#Headers],[PMT NO]])-2)+DAY(LoanStartDate),"")</f>
        <v>50587</v>
      </c>
      <c r="D231" s="7">
        <f>IF(PaymentSchedule3[[#This Row],[PMT NO]]&lt;&gt;"",IF(ROW()-ROW(PaymentSchedule3[[#Headers],[BEGINNING BALANCE]])=1,LoanAmount,INDEX([ENDING BALANCE],ROW()-ROW(PaymentSchedule3[[#Headers],[BEGINNING BALANCE]])-1)),"")</f>
        <v>174090.64188239389</v>
      </c>
      <c r="E231" s="7">
        <f>IF(PaymentSchedule3[[#This Row],[PMT NO]]&lt;&gt;"",ScheduledPayment,"")</f>
        <v>1491.0635231826082</v>
      </c>
      <c r="F23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1" s="7">
        <f>IF(PaymentSchedule3[[#This Row],[PMT NO]]&lt;&gt;"",PaymentSchedule3[[#This Row],[TOTAL PAYMENT]]-PaymentSchedule3[[#This Row],[INTEREST]],"")</f>
        <v>939.77649055502752</v>
      </c>
      <c r="I231" s="7">
        <f>IF(PaymentSchedule3[[#This Row],[PMT NO]]&lt;&gt;"",PaymentSchedule3[[#This Row],[BEGINNING BALANCE]]*(InterestRate/PaymentsPerYear),"")</f>
        <v>551.28703262758063</v>
      </c>
      <c r="J231" s="7">
        <f>IF(PaymentSchedule3[[#This Row],[PMT NO]]&lt;&gt;"",IF(PaymentSchedule3[[#This Row],[SCHEDULED PAYMENT]]+PaymentSchedule3[[#This Row],[EXTRA PAYMENT]]&lt;=PaymentSchedule3[[#This Row],[BEGINNING BALANCE]],PaymentSchedule3[[#This Row],[BEGINNING BALANCE]]-PaymentSchedule3[[#This Row],[PRINCIPAL]],0),"")</f>
        <v>173150.86539183886</v>
      </c>
      <c r="K231" s="7">
        <f>IF(PaymentSchedule3[[#This Row],[PMT NO]]&lt;&gt;"",SUM(INDEX([INTEREST],1,1):PaymentSchedule3[[#This Row],[INTEREST]]),"")</f>
        <v>173729.52287609965</v>
      </c>
    </row>
    <row r="232" spans="2:11">
      <c r="B232" s="4">
        <f>IF(LoanIsGood,IF(ROW()-ROW(PaymentSchedule3[[#Headers],[PMT NO]])&gt;ScheduledNumberOfPayments,"",ROW()-ROW(PaymentSchedule3[[#Headers],[PMT NO]])),"")</f>
        <v>216</v>
      </c>
      <c r="C232" s="5">
        <f>IF(PaymentSchedule3[[#This Row],[PMT NO]]&lt;&gt;"",EOMONTH(LoanStartDate,ROW(PaymentSchedule3[[#This Row],[PMT NO]])-ROW(PaymentSchedule3[[#Headers],[PMT NO]])-2)+DAY(LoanStartDate),"")</f>
        <v>50618</v>
      </c>
      <c r="D232" s="7">
        <f>IF(PaymentSchedule3[[#This Row],[PMT NO]]&lt;&gt;"",IF(ROW()-ROW(PaymentSchedule3[[#Headers],[BEGINNING BALANCE]])=1,LoanAmount,INDEX([ENDING BALANCE],ROW()-ROW(PaymentSchedule3[[#Headers],[BEGINNING BALANCE]])-1)),"")</f>
        <v>173150.86539183886</v>
      </c>
      <c r="E232" s="7">
        <f>IF(PaymentSchedule3[[#This Row],[PMT NO]]&lt;&gt;"",ScheduledPayment,"")</f>
        <v>1491.0635231826082</v>
      </c>
      <c r="F23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2" s="7">
        <f>IF(PaymentSchedule3[[#This Row],[PMT NO]]&lt;&gt;"",PaymentSchedule3[[#This Row],[TOTAL PAYMENT]]-PaymentSchedule3[[#This Row],[INTEREST]],"")</f>
        <v>942.75244944178507</v>
      </c>
      <c r="I232" s="7">
        <f>IF(PaymentSchedule3[[#This Row],[PMT NO]]&lt;&gt;"",PaymentSchedule3[[#This Row],[BEGINNING BALANCE]]*(InterestRate/PaymentsPerYear),"")</f>
        <v>548.31107374082308</v>
      </c>
      <c r="J232" s="7">
        <f>IF(PaymentSchedule3[[#This Row],[PMT NO]]&lt;&gt;"",IF(PaymentSchedule3[[#This Row],[SCHEDULED PAYMENT]]+PaymentSchedule3[[#This Row],[EXTRA PAYMENT]]&lt;=PaymentSchedule3[[#This Row],[BEGINNING BALANCE]],PaymentSchedule3[[#This Row],[BEGINNING BALANCE]]-PaymentSchedule3[[#This Row],[PRINCIPAL]],0),"")</f>
        <v>172208.11294239707</v>
      </c>
      <c r="K232" s="7">
        <f>IF(PaymentSchedule3[[#This Row],[PMT NO]]&lt;&gt;"",SUM(INDEX([INTEREST],1,1):PaymentSchedule3[[#This Row],[INTEREST]]),"")</f>
        <v>174277.83394984048</v>
      </c>
    </row>
    <row r="233" spans="2:11">
      <c r="B233" s="4">
        <f>IF(LoanIsGood,IF(ROW()-ROW(PaymentSchedule3[[#Headers],[PMT NO]])&gt;ScheduledNumberOfPayments,"",ROW()-ROW(PaymentSchedule3[[#Headers],[PMT NO]])),"")</f>
        <v>217</v>
      </c>
      <c r="C233" s="5">
        <f>IF(PaymentSchedule3[[#This Row],[PMT NO]]&lt;&gt;"",EOMONTH(LoanStartDate,ROW(PaymentSchedule3[[#This Row],[PMT NO]])-ROW(PaymentSchedule3[[#Headers],[PMT NO]])-2)+DAY(LoanStartDate),"")</f>
        <v>50649</v>
      </c>
      <c r="D233" s="7">
        <f>IF(PaymentSchedule3[[#This Row],[PMT NO]]&lt;&gt;"",IF(ROW()-ROW(PaymentSchedule3[[#Headers],[BEGINNING BALANCE]])=1,LoanAmount,INDEX([ENDING BALANCE],ROW()-ROW(PaymentSchedule3[[#Headers],[BEGINNING BALANCE]])-1)),"")</f>
        <v>172208.11294239707</v>
      </c>
      <c r="E233" s="7">
        <f>IF(PaymentSchedule3[[#This Row],[PMT NO]]&lt;&gt;"",ScheduledPayment,"")</f>
        <v>1491.0635231826082</v>
      </c>
      <c r="F23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3" s="7">
        <f>IF(PaymentSchedule3[[#This Row],[PMT NO]]&lt;&gt;"",PaymentSchedule3[[#This Row],[TOTAL PAYMENT]]-PaymentSchedule3[[#This Row],[INTEREST]],"")</f>
        <v>945.73783219835082</v>
      </c>
      <c r="I233" s="7">
        <f>IF(PaymentSchedule3[[#This Row],[PMT NO]]&lt;&gt;"",PaymentSchedule3[[#This Row],[BEGINNING BALANCE]]*(InterestRate/PaymentsPerYear),"")</f>
        <v>545.32569098425734</v>
      </c>
      <c r="J233" s="7">
        <f>IF(PaymentSchedule3[[#This Row],[PMT NO]]&lt;&gt;"",IF(PaymentSchedule3[[#This Row],[SCHEDULED PAYMENT]]+PaymentSchedule3[[#This Row],[EXTRA PAYMENT]]&lt;=PaymentSchedule3[[#This Row],[BEGINNING BALANCE]],PaymentSchedule3[[#This Row],[BEGINNING BALANCE]]-PaymentSchedule3[[#This Row],[PRINCIPAL]],0),"")</f>
        <v>171262.37511019871</v>
      </c>
      <c r="K233" s="7">
        <f>IF(PaymentSchedule3[[#This Row],[PMT NO]]&lt;&gt;"",SUM(INDEX([INTEREST],1,1):PaymentSchedule3[[#This Row],[INTEREST]]),"")</f>
        <v>174823.15964082474</v>
      </c>
    </row>
    <row r="234" spans="2:11">
      <c r="B234" s="4">
        <f>IF(LoanIsGood,IF(ROW()-ROW(PaymentSchedule3[[#Headers],[PMT NO]])&gt;ScheduledNumberOfPayments,"",ROW()-ROW(PaymentSchedule3[[#Headers],[PMT NO]])),"")</f>
        <v>218</v>
      </c>
      <c r="C234" s="5">
        <f>IF(PaymentSchedule3[[#This Row],[PMT NO]]&lt;&gt;"",EOMONTH(LoanStartDate,ROW(PaymentSchedule3[[#This Row],[PMT NO]])-ROW(PaymentSchedule3[[#Headers],[PMT NO]])-2)+DAY(LoanStartDate),"")</f>
        <v>50679</v>
      </c>
      <c r="D234" s="7">
        <f>IF(PaymentSchedule3[[#This Row],[PMT NO]]&lt;&gt;"",IF(ROW()-ROW(PaymentSchedule3[[#Headers],[BEGINNING BALANCE]])=1,LoanAmount,INDEX([ENDING BALANCE],ROW()-ROW(PaymentSchedule3[[#Headers],[BEGINNING BALANCE]])-1)),"")</f>
        <v>171262.37511019871</v>
      </c>
      <c r="E234" s="7">
        <f>IF(PaymentSchedule3[[#This Row],[PMT NO]]&lt;&gt;"",ScheduledPayment,"")</f>
        <v>1491.0635231826082</v>
      </c>
      <c r="F23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4" s="7">
        <f>IF(PaymentSchedule3[[#This Row],[PMT NO]]&lt;&gt;"",PaymentSchedule3[[#This Row],[TOTAL PAYMENT]]-PaymentSchedule3[[#This Row],[INTEREST]],"")</f>
        <v>948.73266866697895</v>
      </c>
      <c r="I234" s="7">
        <f>IF(PaymentSchedule3[[#This Row],[PMT NO]]&lt;&gt;"",PaymentSchedule3[[#This Row],[BEGINNING BALANCE]]*(InterestRate/PaymentsPerYear),"")</f>
        <v>542.3308545156292</v>
      </c>
      <c r="J234" s="7">
        <f>IF(PaymentSchedule3[[#This Row],[PMT NO]]&lt;&gt;"",IF(PaymentSchedule3[[#This Row],[SCHEDULED PAYMENT]]+PaymentSchedule3[[#This Row],[EXTRA PAYMENT]]&lt;=PaymentSchedule3[[#This Row],[BEGINNING BALANCE]],PaymentSchedule3[[#This Row],[BEGINNING BALANCE]]-PaymentSchedule3[[#This Row],[PRINCIPAL]],0),"")</f>
        <v>170313.64244153173</v>
      </c>
      <c r="K234" s="7">
        <f>IF(PaymentSchedule3[[#This Row],[PMT NO]]&lt;&gt;"",SUM(INDEX([INTEREST],1,1):PaymentSchedule3[[#This Row],[INTEREST]]),"")</f>
        <v>175365.49049534037</v>
      </c>
    </row>
    <row r="235" spans="2:11">
      <c r="B235" s="4">
        <f>IF(LoanIsGood,IF(ROW()-ROW(PaymentSchedule3[[#Headers],[PMT NO]])&gt;ScheduledNumberOfPayments,"",ROW()-ROW(PaymentSchedule3[[#Headers],[PMT NO]])),"")</f>
        <v>219</v>
      </c>
      <c r="C235" s="5">
        <f>IF(PaymentSchedule3[[#This Row],[PMT NO]]&lt;&gt;"",EOMONTH(LoanStartDate,ROW(PaymentSchedule3[[#This Row],[PMT NO]])-ROW(PaymentSchedule3[[#Headers],[PMT NO]])-2)+DAY(LoanStartDate),"")</f>
        <v>50710</v>
      </c>
      <c r="D235" s="7">
        <f>IF(PaymentSchedule3[[#This Row],[PMT NO]]&lt;&gt;"",IF(ROW()-ROW(PaymentSchedule3[[#Headers],[BEGINNING BALANCE]])=1,LoanAmount,INDEX([ENDING BALANCE],ROW()-ROW(PaymentSchedule3[[#Headers],[BEGINNING BALANCE]])-1)),"")</f>
        <v>170313.64244153173</v>
      </c>
      <c r="E235" s="7">
        <f>IF(PaymentSchedule3[[#This Row],[PMT NO]]&lt;&gt;"",ScheduledPayment,"")</f>
        <v>1491.0635231826082</v>
      </c>
      <c r="F23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5" s="7">
        <f>IF(PaymentSchedule3[[#This Row],[PMT NO]]&lt;&gt;"",PaymentSchedule3[[#This Row],[TOTAL PAYMENT]]-PaymentSchedule3[[#This Row],[INTEREST]],"")</f>
        <v>951.7369887844244</v>
      </c>
      <c r="I235" s="7">
        <f>IF(PaymentSchedule3[[#This Row],[PMT NO]]&lt;&gt;"",PaymentSchedule3[[#This Row],[BEGINNING BALANCE]]*(InterestRate/PaymentsPerYear),"")</f>
        <v>539.32653439818375</v>
      </c>
      <c r="J235" s="7">
        <f>IF(PaymentSchedule3[[#This Row],[PMT NO]]&lt;&gt;"",IF(PaymentSchedule3[[#This Row],[SCHEDULED PAYMENT]]+PaymentSchedule3[[#This Row],[EXTRA PAYMENT]]&lt;=PaymentSchedule3[[#This Row],[BEGINNING BALANCE]],PaymentSchedule3[[#This Row],[BEGINNING BALANCE]]-PaymentSchedule3[[#This Row],[PRINCIPAL]],0),"")</f>
        <v>169361.90545274731</v>
      </c>
      <c r="K235" s="7">
        <f>IF(PaymentSchedule3[[#This Row],[PMT NO]]&lt;&gt;"",SUM(INDEX([INTEREST],1,1):PaymentSchedule3[[#This Row],[INTEREST]]),"")</f>
        <v>175904.81702973857</v>
      </c>
    </row>
    <row r="236" spans="2:11">
      <c r="B236" s="4">
        <f>IF(LoanIsGood,IF(ROW()-ROW(PaymentSchedule3[[#Headers],[PMT NO]])&gt;ScheduledNumberOfPayments,"",ROW()-ROW(PaymentSchedule3[[#Headers],[PMT NO]])),"")</f>
        <v>220</v>
      </c>
      <c r="C236" s="5">
        <f>IF(PaymentSchedule3[[#This Row],[PMT NO]]&lt;&gt;"",EOMONTH(LoanStartDate,ROW(PaymentSchedule3[[#This Row],[PMT NO]])-ROW(PaymentSchedule3[[#Headers],[PMT NO]])-2)+DAY(LoanStartDate),"")</f>
        <v>50740</v>
      </c>
      <c r="D236" s="7">
        <f>IF(PaymentSchedule3[[#This Row],[PMT NO]]&lt;&gt;"",IF(ROW()-ROW(PaymentSchedule3[[#Headers],[BEGINNING BALANCE]])=1,LoanAmount,INDEX([ENDING BALANCE],ROW()-ROW(PaymentSchedule3[[#Headers],[BEGINNING BALANCE]])-1)),"")</f>
        <v>169361.90545274731</v>
      </c>
      <c r="E236" s="7">
        <f>IF(PaymentSchedule3[[#This Row],[PMT NO]]&lt;&gt;"",ScheduledPayment,"")</f>
        <v>1491.0635231826082</v>
      </c>
      <c r="F23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6" s="7">
        <f>IF(PaymentSchedule3[[#This Row],[PMT NO]]&lt;&gt;"",PaymentSchedule3[[#This Row],[TOTAL PAYMENT]]-PaymentSchedule3[[#This Row],[INTEREST]],"")</f>
        <v>954.75082258224165</v>
      </c>
      <c r="I236" s="7">
        <f>IF(PaymentSchedule3[[#This Row],[PMT NO]]&lt;&gt;"",PaymentSchedule3[[#This Row],[BEGINNING BALANCE]]*(InterestRate/PaymentsPerYear),"")</f>
        <v>536.3127006003665</v>
      </c>
      <c r="J236" s="7">
        <f>IF(PaymentSchedule3[[#This Row],[PMT NO]]&lt;&gt;"",IF(PaymentSchedule3[[#This Row],[SCHEDULED PAYMENT]]+PaymentSchedule3[[#This Row],[EXTRA PAYMENT]]&lt;=PaymentSchedule3[[#This Row],[BEGINNING BALANCE]],PaymentSchedule3[[#This Row],[BEGINNING BALANCE]]-PaymentSchedule3[[#This Row],[PRINCIPAL]],0),"")</f>
        <v>168407.15463016505</v>
      </c>
      <c r="K236" s="7">
        <f>IF(PaymentSchedule3[[#This Row],[PMT NO]]&lt;&gt;"",SUM(INDEX([INTEREST],1,1):PaymentSchedule3[[#This Row],[INTEREST]]),"")</f>
        <v>176441.12973033893</v>
      </c>
    </row>
    <row r="237" spans="2:11">
      <c r="B237" s="4">
        <f>IF(LoanIsGood,IF(ROW()-ROW(PaymentSchedule3[[#Headers],[PMT NO]])&gt;ScheduledNumberOfPayments,"",ROW()-ROW(PaymentSchedule3[[#Headers],[PMT NO]])),"")</f>
        <v>221</v>
      </c>
      <c r="C237" s="5">
        <f>IF(PaymentSchedule3[[#This Row],[PMT NO]]&lt;&gt;"",EOMONTH(LoanStartDate,ROW(PaymentSchedule3[[#This Row],[PMT NO]])-ROW(PaymentSchedule3[[#Headers],[PMT NO]])-2)+DAY(LoanStartDate),"")</f>
        <v>50771</v>
      </c>
      <c r="D237" s="7">
        <f>IF(PaymentSchedule3[[#This Row],[PMT NO]]&lt;&gt;"",IF(ROW()-ROW(PaymentSchedule3[[#Headers],[BEGINNING BALANCE]])=1,LoanAmount,INDEX([ENDING BALANCE],ROW()-ROW(PaymentSchedule3[[#Headers],[BEGINNING BALANCE]])-1)),"")</f>
        <v>168407.15463016505</v>
      </c>
      <c r="E237" s="7">
        <f>IF(PaymentSchedule3[[#This Row],[PMT NO]]&lt;&gt;"",ScheduledPayment,"")</f>
        <v>1491.0635231826082</v>
      </c>
      <c r="F23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7" s="7">
        <f>IF(PaymentSchedule3[[#This Row],[PMT NO]]&lt;&gt;"",PaymentSchedule3[[#This Row],[TOTAL PAYMENT]]-PaymentSchedule3[[#This Row],[INTEREST]],"")</f>
        <v>957.77420018708551</v>
      </c>
      <c r="I237" s="7">
        <f>IF(PaymentSchedule3[[#This Row],[PMT NO]]&lt;&gt;"",PaymentSchedule3[[#This Row],[BEGINNING BALANCE]]*(InterestRate/PaymentsPerYear),"")</f>
        <v>533.28932299552264</v>
      </c>
      <c r="J237" s="7">
        <f>IF(PaymentSchedule3[[#This Row],[PMT NO]]&lt;&gt;"",IF(PaymentSchedule3[[#This Row],[SCHEDULED PAYMENT]]+PaymentSchedule3[[#This Row],[EXTRA PAYMENT]]&lt;=PaymentSchedule3[[#This Row],[BEGINNING BALANCE]],PaymentSchedule3[[#This Row],[BEGINNING BALANCE]]-PaymentSchedule3[[#This Row],[PRINCIPAL]],0),"")</f>
        <v>167449.38042997796</v>
      </c>
      <c r="K237" s="7">
        <f>IF(PaymentSchedule3[[#This Row],[PMT NO]]&lt;&gt;"",SUM(INDEX([INTEREST],1,1):PaymentSchedule3[[#This Row],[INTEREST]]),"")</f>
        <v>176974.41905333445</v>
      </c>
    </row>
    <row r="238" spans="2:11">
      <c r="B238" s="4">
        <f>IF(LoanIsGood,IF(ROW()-ROW(PaymentSchedule3[[#Headers],[PMT NO]])&gt;ScheduledNumberOfPayments,"",ROW()-ROW(PaymentSchedule3[[#Headers],[PMT NO]])),"")</f>
        <v>222</v>
      </c>
      <c r="C238" s="5">
        <f>IF(PaymentSchedule3[[#This Row],[PMT NO]]&lt;&gt;"",EOMONTH(LoanStartDate,ROW(PaymentSchedule3[[#This Row],[PMT NO]])-ROW(PaymentSchedule3[[#Headers],[PMT NO]])-2)+DAY(LoanStartDate),"")</f>
        <v>50802</v>
      </c>
      <c r="D238" s="7">
        <f>IF(PaymentSchedule3[[#This Row],[PMT NO]]&lt;&gt;"",IF(ROW()-ROW(PaymentSchedule3[[#Headers],[BEGINNING BALANCE]])=1,LoanAmount,INDEX([ENDING BALANCE],ROW()-ROW(PaymentSchedule3[[#Headers],[BEGINNING BALANCE]])-1)),"")</f>
        <v>167449.38042997796</v>
      </c>
      <c r="E238" s="7">
        <f>IF(PaymentSchedule3[[#This Row],[PMT NO]]&lt;&gt;"",ScheduledPayment,"")</f>
        <v>1491.0635231826082</v>
      </c>
      <c r="F23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8" s="7">
        <f>IF(PaymentSchedule3[[#This Row],[PMT NO]]&lt;&gt;"",PaymentSchedule3[[#This Row],[TOTAL PAYMENT]]-PaymentSchedule3[[#This Row],[INTEREST]],"")</f>
        <v>960.8071518210113</v>
      </c>
      <c r="I238" s="7">
        <f>IF(PaymentSchedule3[[#This Row],[PMT NO]]&lt;&gt;"",PaymentSchedule3[[#This Row],[BEGINNING BALANCE]]*(InterestRate/PaymentsPerYear),"")</f>
        <v>530.25637136159685</v>
      </c>
      <c r="J238" s="7">
        <f>IF(PaymentSchedule3[[#This Row],[PMT NO]]&lt;&gt;"",IF(PaymentSchedule3[[#This Row],[SCHEDULED PAYMENT]]+PaymentSchedule3[[#This Row],[EXTRA PAYMENT]]&lt;=PaymentSchedule3[[#This Row],[BEGINNING BALANCE]],PaymentSchedule3[[#This Row],[BEGINNING BALANCE]]-PaymentSchedule3[[#This Row],[PRINCIPAL]],0),"")</f>
        <v>166488.57327815695</v>
      </c>
      <c r="K238" s="7">
        <f>IF(PaymentSchedule3[[#This Row],[PMT NO]]&lt;&gt;"",SUM(INDEX([INTEREST],1,1):PaymentSchedule3[[#This Row],[INTEREST]]),"")</f>
        <v>177504.67542469606</v>
      </c>
    </row>
    <row r="239" spans="2:11">
      <c r="B239" s="4">
        <f>IF(LoanIsGood,IF(ROW()-ROW(PaymentSchedule3[[#Headers],[PMT NO]])&gt;ScheduledNumberOfPayments,"",ROW()-ROW(PaymentSchedule3[[#Headers],[PMT NO]])),"")</f>
        <v>223</v>
      </c>
      <c r="C239" s="5">
        <f>IF(PaymentSchedule3[[#This Row],[PMT NO]]&lt;&gt;"",EOMONTH(LoanStartDate,ROW(PaymentSchedule3[[#This Row],[PMT NO]])-ROW(PaymentSchedule3[[#Headers],[PMT NO]])-2)+DAY(LoanStartDate),"")</f>
        <v>50830</v>
      </c>
      <c r="D239" s="7">
        <f>IF(PaymentSchedule3[[#This Row],[PMT NO]]&lt;&gt;"",IF(ROW()-ROW(PaymentSchedule3[[#Headers],[BEGINNING BALANCE]])=1,LoanAmount,INDEX([ENDING BALANCE],ROW()-ROW(PaymentSchedule3[[#Headers],[BEGINNING BALANCE]])-1)),"")</f>
        <v>166488.57327815695</v>
      </c>
      <c r="E239" s="7">
        <f>IF(PaymentSchedule3[[#This Row],[PMT NO]]&lt;&gt;"",ScheduledPayment,"")</f>
        <v>1491.0635231826082</v>
      </c>
      <c r="F23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39" s="7">
        <f>IF(PaymentSchedule3[[#This Row],[PMT NO]]&lt;&gt;"",PaymentSchedule3[[#This Row],[TOTAL PAYMENT]]-PaymentSchedule3[[#This Row],[INTEREST]],"")</f>
        <v>963.84970780177787</v>
      </c>
      <c r="I239" s="7">
        <f>IF(PaymentSchedule3[[#This Row],[PMT NO]]&lt;&gt;"",PaymentSchedule3[[#This Row],[BEGINNING BALANCE]]*(InterestRate/PaymentsPerYear),"")</f>
        <v>527.21381538083028</v>
      </c>
      <c r="J239" s="7">
        <f>IF(PaymentSchedule3[[#This Row],[PMT NO]]&lt;&gt;"",IF(PaymentSchedule3[[#This Row],[SCHEDULED PAYMENT]]+PaymentSchedule3[[#This Row],[EXTRA PAYMENT]]&lt;=PaymentSchedule3[[#This Row],[BEGINNING BALANCE]],PaymentSchedule3[[#This Row],[BEGINNING BALANCE]]-PaymentSchedule3[[#This Row],[PRINCIPAL]],0),"")</f>
        <v>165524.72357035519</v>
      </c>
      <c r="K239" s="7">
        <f>IF(PaymentSchedule3[[#This Row],[PMT NO]]&lt;&gt;"",SUM(INDEX([INTEREST],1,1):PaymentSchedule3[[#This Row],[INTEREST]]),"")</f>
        <v>178031.88924007688</v>
      </c>
    </row>
    <row r="240" spans="2:11">
      <c r="B240" s="4">
        <f>IF(LoanIsGood,IF(ROW()-ROW(PaymentSchedule3[[#Headers],[PMT NO]])&gt;ScheduledNumberOfPayments,"",ROW()-ROW(PaymentSchedule3[[#Headers],[PMT NO]])),"")</f>
        <v>224</v>
      </c>
      <c r="C240" s="5">
        <f>IF(PaymentSchedule3[[#This Row],[PMT NO]]&lt;&gt;"",EOMONTH(LoanStartDate,ROW(PaymentSchedule3[[#This Row],[PMT NO]])-ROW(PaymentSchedule3[[#Headers],[PMT NO]])-2)+DAY(LoanStartDate),"")</f>
        <v>50861</v>
      </c>
      <c r="D240" s="7">
        <f>IF(PaymentSchedule3[[#This Row],[PMT NO]]&lt;&gt;"",IF(ROW()-ROW(PaymentSchedule3[[#Headers],[BEGINNING BALANCE]])=1,LoanAmount,INDEX([ENDING BALANCE],ROW()-ROW(PaymentSchedule3[[#Headers],[BEGINNING BALANCE]])-1)),"")</f>
        <v>165524.72357035519</v>
      </c>
      <c r="E240" s="7">
        <f>IF(PaymentSchedule3[[#This Row],[PMT NO]]&lt;&gt;"",ScheduledPayment,"")</f>
        <v>1491.0635231826082</v>
      </c>
      <c r="F24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0" s="7">
        <f>IF(PaymentSchedule3[[#This Row],[PMT NO]]&lt;&gt;"",PaymentSchedule3[[#This Row],[TOTAL PAYMENT]]-PaymentSchedule3[[#This Row],[INTEREST]],"")</f>
        <v>966.90189854315008</v>
      </c>
      <c r="I240" s="7">
        <f>IF(PaymentSchedule3[[#This Row],[PMT NO]]&lt;&gt;"",PaymentSchedule3[[#This Row],[BEGINNING BALANCE]]*(InterestRate/PaymentsPerYear),"")</f>
        <v>524.16162463945807</v>
      </c>
      <c r="J240" s="7">
        <f>IF(PaymentSchedule3[[#This Row],[PMT NO]]&lt;&gt;"",IF(PaymentSchedule3[[#This Row],[SCHEDULED PAYMENT]]+PaymentSchedule3[[#This Row],[EXTRA PAYMENT]]&lt;=PaymentSchedule3[[#This Row],[BEGINNING BALANCE]],PaymentSchedule3[[#This Row],[BEGINNING BALANCE]]-PaymentSchedule3[[#This Row],[PRINCIPAL]],0),"")</f>
        <v>164557.82167181204</v>
      </c>
      <c r="K240" s="7">
        <f>IF(PaymentSchedule3[[#This Row],[PMT NO]]&lt;&gt;"",SUM(INDEX([INTEREST],1,1):PaymentSchedule3[[#This Row],[INTEREST]]),"")</f>
        <v>178556.05086471635</v>
      </c>
    </row>
    <row r="241" spans="2:11">
      <c r="B241" s="4">
        <f>IF(LoanIsGood,IF(ROW()-ROW(PaymentSchedule3[[#Headers],[PMT NO]])&gt;ScheduledNumberOfPayments,"",ROW()-ROW(PaymentSchedule3[[#Headers],[PMT NO]])),"")</f>
        <v>225</v>
      </c>
      <c r="C241" s="5">
        <f>IF(PaymentSchedule3[[#This Row],[PMT NO]]&lt;&gt;"",EOMONTH(LoanStartDate,ROW(PaymentSchedule3[[#This Row],[PMT NO]])-ROW(PaymentSchedule3[[#Headers],[PMT NO]])-2)+DAY(LoanStartDate),"")</f>
        <v>50891</v>
      </c>
      <c r="D241" s="7">
        <f>IF(PaymentSchedule3[[#This Row],[PMT NO]]&lt;&gt;"",IF(ROW()-ROW(PaymentSchedule3[[#Headers],[BEGINNING BALANCE]])=1,LoanAmount,INDEX([ENDING BALANCE],ROW()-ROW(PaymentSchedule3[[#Headers],[BEGINNING BALANCE]])-1)),"")</f>
        <v>164557.82167181204</v>
      </c>
      <c r="E241" s="7">
        <f>IF(PaymentSchedule3[[#This Row],[PMT NO]]&lt;&gt;"",ScheduledPayment,"")</f>
        <v>1491.0635231826082</v>
      </c>
      <c r="F24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1" s="7">
        <f>IF(PaymentSchedule3[[#This Row],[PMT NO]]&lt;&gt;"",PaymentSchedule3[[#This Row],[TOTAL PAYMENT]]-PaymentSchedule3[[#This Row],[INTEREST]],"")</f>
        <v>969.96375455520342</v>
      </c>
      <c r="I241" s="7">
        <f>IF(PaymentSchedule3[[#This Row],[PMT NO]]&lt;&gt;"",PaymentSchedule3[[#This Row],[BEGINNING BALANCE]]*(InterestRate/PaymentsPerYear),"")</f>
        <v>521.09976862740473</v>
      </c>
      <c r="J241" s="7">
        <f>IF(PaymentSchedule3[[#This Row],[PMT NO]]&lt;&gt;"",IF(PaymentSchedule3[[#This Row],[SCHEDULED PAYMENT]]+PaymentSchedule3[[#This Row],[EXTRA PAYMENT]]&lt;=PaymentSchedule3[[#This Row],[BEGINNING BALANCE]],PaymentSchedule3[[#This Row],[BEGINNING BALANCE]]-PaymentSchedule3[[#This Row],[PRINCIPAL]],0),"")</f>
        <v>163587.85791725683</v>
      </c>
      <c r="K241" s="7">
        <f>IF(PaymentSchedule3[[#This Row],[PMT NO]]&lt;&gt;"",SUM(INDEX([INTEREST],1,1):PaymentSchedule3[[#This Row],[INTEREST]]),"")</f>
        <v>179077.15063334376</v>
      </c>
    </row>
    <row r="242" spans="2:11">
      <c r="B242" s="4">
        <f>IF(LoanIsGood,IF(ROW()-ROW(PaymentSchedule3[[#Headers],[PMT NO]])&gt;ScheduledNumberOfPayments,"",ROW()-ROW(PaymentSchedule3[[#Headers],[PMT NO]])),"")</f>
        <v>226</v>
      </c>
      <c r="C242" s="5">
        <f>IF(PaymentSchedule3[[#This Row],[PMT NO]]&lt;&gt;"",EOMONTH(LoanStartDate,ROW(PaymentSchedule3[[#This Row],[PMT NO]])-ROW(PaymentSchedule3[[#Headers],[PMT NO]])-2)+DAY(LoanStartDate),"")</f>
        <v>50922</v>
      </c>
      <c r="D242" s="7">
        <f>IF(PaymentSchedule3[[#This Row],[PMT NO]]&lt;&gt;"",IF(ROW()-ROW(PaymentSchedule3[[#Headers],[BEGINNING BALANCE]])=1,LoanAmount,INDEX([ENDING BALANCE],ROW()-ROW(PaymentSchedule3[[#Headers],[BEGINNING BALANCE]])-1)),"")</f>
        <v>163587.85791725683</v>
      </c>
      <c r="E242" s="7">
        <f>IF(PaymentSchedule3[[#This Row],[PMT NO]]&lt;&gt;"",ScheduledPayment,"")</f>
        <v>1491.0635231826082</v>
      </c>
      <c r="F24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2" s="7">
        <f>IF(PaymentSchedule3[[#This Row],[PMT NO]]&lt;&gt;"",PaymentSchedule3[[#This Row],[TOTAL PAYMENT]]-PaymentSchedule3[[#This Row],[INTEREST]],"")</f>
        <v>973.03530644462819</v>
      </c>
      <c r="I242" s="7">
        <f>IF(PaymentSchedule3[[#This Row],[PMT NO]]&lt;&gt;"",PaymentSchedule3[[#This Row],[BEGINNING BALANCE]]*(InterestRate/PaymentsPerYear),"")</f>
        <v>518.02821673797996</v>
      </c>
      <c r="J242" s="7">
        <f>IF(PaymentSchedule3[[#This Row],[PMT NO]]&lt;&gt;"",IF(PaymentSchedule3[[#This Row],[SCHEDULED PAYMENT]]+PaymentSchedule3[[#This Row],[EXTRA PAYMENT]]&lt;=PaymentSchedule3[[#This Row],[BEGINNING BALANCE]],PaymentSchedule3[[#This Row],[BEGINNING BALANCE]]-PaymentSchedule3[[#This Row],[PRINCIPAL]],0),"")</f>
        <v>162614.8226108122</v>
      </c>
      <c r="K242" s="7">
        <f>IF(PaymentSchedule3[[#This Row],[PMT NO]]&lt;&gt;"",SUM(INDEX([INTEREST],1,1):PaymentSchedule3[[#This Row],[INTEREST]]),"")</f>
        <v>179595.17885008175</v>
      </c>
    </row>
    <row r="243" spans="2:11">
      <c r="B243" s="4">
        <f>IF(LoanIsGood,IF(ROW()-ROW(PaymentSchedule3[[#Headers],[PMT NO]])&gt;ScheduledNumberOfPayments,"",ROW()-ROW(PaymentSchedule3[[#Headers],[PMT NO]])),"")</f>
        <v>227</v>
      </c>
      <c r="C243" s="5">
        <f>IF(PaymentSchedule3[[#This Row],[PMT NO]]&lt;&gt;"",EOMONTH(LoanStartDate,ROW(PaymentSchedule3[[#This Row],[PMT NO]])-ROW(PaymentSchedule3[[#Headers],[PMT NO]])-2)+DAY(LoanStartDate),"")</f>
        <v>50952</v>
      </c>
      <c r="D243" s="7">
        <f>IF(PaymentSchedule3[[#This Row],[PMT NO]]&lt;&gt;"",IF(ROW()-ROW(PaymentSchedule3[[#Headers],[BEGINNING BALANCE]])=1,LoanAmount,INDEX([ENDING BALANCE],ROW()-ROW(PaymentSchedule3[[#Headers],[BEGINNING BALANCE]])-1)),"")</f>
        <v>162614.8226108122</v>
      </c>
      <c r="E243" s="7">
        <f>IF(PaymentSchedule3[[#This Row],[PMT NO]]&lt;&gt;"",ScheduledPayment,"")</f>
        <v>1491.0635231826082</v>
      </c>
      <c r="F24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3" s="7">
        <f>IF(PaymentSchedule3[[#This Row],[PMT NO]]&lt;&gt;"",PaymentSchedule3[[#This Row],[TOTAL PAYMENT]]-PaymentSchedule3[[#This Row],[INTEREST]],"")</f>
        <v>976.11658491503624</v>
      </c>
      <c r="I243" s="7">
        <f>IF(PaymentSchedule3[[#This Row],[PMT NO]]&lt;&gt;"",PaymentSchedule3[[#This Row],[BEGINNING BALANCE]]*(InterestRate/PaymentsPerYear),"")</f>
        <v>514.94693826757191</v>
      </c>
      <c r="J243" s="7">
        <f>IF(PaymentSchedule3[[#This Row],[PMT NO]]&lt;&gt;"",IF(PaymentSchedule3[[#This Row],[SCHEDULED PAYMENT]]+PaymentSchedule3[[#This Row],[EXTRA PAYMENT]]&lt;=PaymentSchedule3[[#This Row],[BEGINNING BALANCE]],PaymentSchedule3[[#This Row],[BEGINNING BALANCE]]-PaymentSchedule3[[#This Row],[PRINCIPAL]],0),"")</f>
        <v>161638.70602589718</v>
      </c>
      <c r="K243" s="7">
        <f>IF(PaymentSchedule3[[#This Row],[PMT NO]]&lt;&gt;"",SUM(INDEX([INTEREST],1,1):PaymentSchedule3[[#This Row],[INTEREST]]),"")</f>
        <v>180110.12578834931</v>
      </c>
    </row>
    <row r="244" spans="2:11">
      <c r="B244" s="4">
        <f>IF(LoanIsGood,IF(ROW()-ROW(PaymentSchedule3[[#Headers],[PMT NO]])&gt;ScheduledNumberOfPayments,"",ROW()-ROW(PaymentSchedule3[[#Headers],[PMT NO]])),"")</f>
        <v>228</v>
      </c>
      <c r="C244" s="5">
        <f>IF(PaymentSchedule3[[#This Row],[PMT NO]]&lt;&gt;"",EOMONTH(LoanStartDate,ROW(PaymentSchedule3[[#This Row],[PMT NO]])-ROW(PaymentSchedule3[[#Headers],[PMT NO]])-2)+DAY(LoanStartDate),"")</f>
        <v>50983</v>
      </c>
      <c r="D244" s="7">
        <f>IF(PaymentSchedule3[[#This Row],[PMT NO]]&lt;&gt;"",IF(ROW()-ROW(PaymentSchedule3[[#Headers],[BEGINNING BALANCE]])=1,LoanAmount,INDEX([ENDING BALANCE],ROW()-ROW(PaymentSchedule3[[#Headers],[BEGINNING BALANCE]])-1)),"")</f>
        <v>161638.70602589718</v>
      </c>
      <c r="E244" s="7">
        <f>IF(PaymentSchedule3[[#This Row],[PMT NO]]&lt;&gt;"",ScheduledPayment,"")</f>
        <v>1491.0635231826082</v>
      </c>
      <c r="F24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4" s="7">
        <f>IF(PaymentSchedule3[[#This Row],[PMT NO]]&lt;&gt;"",PaymentSchedule3[[#This Row],[TOTAL PAYMENT]]-PaymentSchedule3[[#This Row],[INTEREST]],"")</f>
        <v>979.20762076726714</v>
      </c>
      <c r="I244" s="7">
        <f>IF(PaymentSchedule3[[#This Row],[PMT NO]]&lt;&gt;"",PaymentSchedule3[[#This Row],[BEGINNING BALANCE]]*(InterestRate/PaymentsPerYear),"")</f>
        <v>511.85590241534106</v>
      </c>
      <c r="J244" s="7">
        <f>IF(PaymentSchedule3[[#This Row],[PMT NO]]&lt;&gt;"",IF(PaymentSchedule3[[#This Row],[SCHEDULED PAYMENT]]+PaymentSchedule3[[#This Row],[EXTRA PAYMENT]]&lt;=PaymentSchedule3[[#This Row],[BEGINNING BALANCE]],PaymentSchedule3[[#This Row],[BEGINNING BALANCE]]-PaymentSchedule3[[#This Row],[PRINCIPAL]],0),"")</f>
        <v>160659.49840512991</v>
      </c>
      <c r="K244" s="7">
        <f>IF(PaymentSchedule3[[#This Row],[PMT NO]]&lt;&gt;"",SUM(INDEX([INTEREST],1,1):PaymentSchedule3[[#This Row],[INTEREST]]),"")</f>
        <v>180621.98169076466</v>
      </c>
    </row>
    <row r="245" spans="2:11">
      <c r="B245" s="4">
        <f>IF(LoanIsGood,IF(ROW()-ROW(PaymentSchedule3[[#Headers],[PMT NO]])&gt;ScheduledNumberOfPayments,"",ROW()-ROW(PaymentSchedule3[[#Headers],[PMT NO]])),"")</f>
        <v>229</v>
      </c>
      <c r="C245" s="5">
        <f>IF(PaymentSchedule3[[#This Row],[PMT NO]]&lt;&gt;"",EOMONTH(LoanStartDate,ROW(PaymentSchedule3[[#This Row],[PMT NO]])-ROW(PaymentSchedule3[[#Headers],[PMT NO]])-2)+DAY(LoanStartDate),"")</f>
        <v>51014</v>
      </c>
      <c r="D245" s="7">
        <f>IF(PaymentSchedule3[[#This Row],[PMT NO]]&lt;&gt;"",IF(ROW()-ROW(PaymentSchedule3[[#Headers],[BEGINNING BALANCE]])=1,LoanAmount,INDEX([ENDING BALANCE],ROW()-ROW(PaymentSchedule3[[#Headers],[BEGINNING BALANCE]])-1)),"")</f>
        <v>160659.49840512991</v>
      </c>
      <c r="E245" s="7">
        <f>IF(PaymentSchedule3[[#This Row],[PMT NO]]&lt;&gt;"",ScheduledPayment,"")</f>
        <v>1491.0635231826082</v>
      </c>
      <c r="F24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5" s="7">
        <f>IF(PaymentSchedule3[[#This Row],[PMT NO]]&lt;&gt;"",PaymentSchedule3[[#This Row],[TOTAL PAYMENT]]-PaymentSchedule3[[#This Row],[INTEREST]],"")</f>
        <v>982.30844489969672</v>
      </c>
      <c r="I245" s="7">
        <f>IF(PaymentSchedule3[[#This Row],[PMT NO]]&lt;&gt;"",PaymentSchedule3[[#This Row],[BEGINNING BALANCE]]*(InterestRate/PaymentsPerYear),"")</f>
        <v>508.75507828291137</v>
      </c>
      <c r="J245" s="7">
        <f>IF(PaymentSchedule3[[#This Row],[PMT NO]]&lt;&gt;"",IF(PaymentSchedule3[[#This Row],[SCHEDULED PAYMENT]]+PaymentSchedule3[[#This Row],[EXTRA PAYMENT]]&lt;=PaymentSchedule3[[#This Row],[BEGINNING BALANCE]],PaymentSchedule3[[#This Row],[BEGINNING BALANCE]]-PaymentSchedule3[[#This Row],[PRINCIPAL]],0),"")</f>
        <v>159677.1899602302</v>
      </c>
      <c r="K245" s="7">
        <f>IF(PaymentSchedule3[[#This Row],[PMT NO]]&lt;&gt;"",SUM(INDEX([INTEREST],1,1):PaymentSchedule3[[#This Row],[INTEREST]]),"")</f>
        <v>181130.73676904757</v>
      </c>
    </row>
    <row r="246" spans="2:11">
      <c r="B246" s="4">
        <f>IF(LoanIsGood,IF(ROW()-ROW(PaymentSchedule3[[#Headers],[PMT NO]])&gt;ScheduledNumberOfPayments,"",ROW()-ROW(PaymentSchedule3[[#Headers],[PMT NO]])),"")</f>
        <v>230</v>
      </c>
      <c r="C246" s="5">
        <f>IF(PaymentSchedule3[[#This Row],[PMT NO]]&lt;&gt;"",EOMONTH(LoanStartDate,ROW(PaymentSchedule3[[#This Row],[PMT NO]])-ROW(PaymentSchedule3[[#Headers],[PMT NO]])-2)+DAY(LoanStartDate),"")</f>
        <v>51044</v>
      </c>
      <c r="D246" s="7">
        <f>IF(PaymentSchedule3[[#This Row],[PMT NO]]&lt;&gt;"",IF(ROW()-ROW(PaymentSchedule3[[#Headers],[BEGINNING BALANCE]])=1,LoanAmount,INDEX([ENDING BALANCE],ROW()-ROW(PaymentSchedule3[[#Headers],[BEGINNING BALANCE]])-1)),"")</f>
        <v>159677.1899602302</v>
      </c>
      <c r="E246" s="7">
        <f>IF(PaymentSchedule3[[#This Row],[PMT NO]]&lt;&gt;"",ScheduledPayment,"")</f>
        <v>1491.0635231826082</v>
      </c>
      <c r="F24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6" s="7">
        <f>IF(PaymentSchedule3[[#This Row],[PMT NO]]&lt;&gt;"",PaymentSchedule3[[#This Row],[TOTAL PAYMENT]]-PaymentSchedule3[[#This Row],[INTEREST]],"")</f>
        <v>985.41908830854584</v>
      </c>
      <c r="I246" s="7">
        <f>IF(PaymentSchedule3[[#This Row],[PMT NO]]&lt;&gt;"",PaymentSchedule3[[#This Row],[BEGINNING BALANCE]]*(InterestRate/PaymentsPerYear),"")</f>
        <v>505.64443487406231</v>
      </c>
      <c r="J246" s="7">
        <f>IF(PaymentSchedule3[[#This Row],[PMT NO]]&lt;&gt;"",IF(PaymentSchedule3[[#This Row],[SCHEDULED PAYMENT]]+PaymentSchedule3[[#This Row],[EXTRA PAYMENT]]&lt;=PaymentSchedule3[[#This Row],[BEGINNING BALANCE]],PaymentSchedule3[[#This Row],[BEGINNING BALANCE]]-PaymentSchedule3[[#This Row],[PRINCIPAL]],0),"")</f>
        <v>158691.77087192165</v>
      </c>
      <c r="K246" s="7">
        <f>IF(PaymentSchedule3[[#This Row],[PMT NO]]&lt;&gt;"",SUM(INDEX([INTEREST],1,1):PaymentSchedule3[[#This Row],[INTEREST]]),"")</f>
        <v>181636.38120392163</v>
      </c>
    </row>
    <row r="247" spans="2:11">
      <c r="B247" s="4">
        <f>IF(LoanIsGood,IF(ROW()-ROW(PaymentSchedule3[[#Headers],[PMT NO]])&gt;ScheduledNumberOfPayments,"",ROW()-ROW(PaymentSchedule3[[#Headers],[PMT NO]])),"")</f>
        <v>231</v>
      </c>
      <c r="C247" s="5">
        <f>IF(PaymentSchedule3[[#This Row],[PMT NO]]&lt;&gt;"",EOMONTH(LoanStartDate,ROW(PaymentSchedule3[[#This Row],[PMT NO]])-ROW(PaymentSchedule3[[#Headers],[PMT NO]])-2)+DAY(LoanStartDate),"")</f>
        <v>51075</v>
      </c>
      <c r="D247" s="7">
        <f>IF(PaymentSchedule3[[#This Row],[PMT NO]]&lt;&gt;"",IF(ROW()-ROW(PaymentSchedule3[[#Headers],[BEGINNING BALANCE]])=1,LoanAmount,INDEX([ENDING BALANCE],ROW()-ROW(PaymentSchedule3[[#Headers],[BEGINNING BALANCE]])-1)),"")</f>
        <v>158691.77087192165</v>
      </c>
      <c r="E247" s="7">
        <f>IF(PaymentSchedule3[[#This Row],[PMT NO]]&lt;&gt;"",ScheduledPayment,"")</f>
        <v>1491.0635231826082</v>
      </c>
      <c r="F24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7" s="7">
        <f>IF(PaymentSchedule3[[#This Row],[PMT NO]]&lt;&gt;"",PaymentSchedule3[[#This Row],[TOTAL PAYMENT]]-PaymentSchedule3[[#This Row],[INTEREST]],"")</f>
        <v>988.5395820881896</v>
      </c>
      <c r="I247" s="7">
        <f>IF(PaymentSchedule3[[#This Row],[PMT NO]]&lt;&gt;"",PaymentSchedule3[[#This Row],[BEGINNING BALANCE]]*(InterestRate/PaymentsPerYear),"")</f>
        <v>502.52394109441855</v>
      </c>
      <c r="J247" s="7">
        <f>IF(PaymentSchedule3[[#This Row],[PMT NO]]&lt;&gt;"",IF(PaymentSchedule3[[#This Row],[SCHEDULED PAYMENT]]+PaymentSchedule3[[#This Row],[EXTRA PAYMENT]]&lt;=PaymentSchedule3[[#This Row],[BEGINNING BALANCE]],PaymentSchedule3[[#This Row],[BEGINNING BALANCE]]-PaymentSchedule3[[#This Row],[PRINCIPAL]],0),"")</f>
        <v>157703.23128983346</v>
      </c>
      <c r="K247" s="7">
        <f>IF(PaymentSchedule3[[#This Row],[PMT NO]]&lt;&gt;"",SUM(INDEX([INTEREST],1,1):PaymentSchedule3[[#This Row],[INTEREST]]),"")</f>
        <v>182138.90514501603</v>
      </c>
    </row>
    <row r="248" spans="2:11">
      <c r="B248" s="4">
        <f>IF(LoanIsGood,IF(ROW()-ROW(PaymentSchedule3[[#Headers],[PMT NO]])&gt;ScheduledNumberOfPayments,"",ROW()-ROW(PaymentSchedule3[[#Headers],[PMT NO]])),"")</f>
        <v>232</v>
      </c>
      <c r="C248" s="5">
        <f>IF(PaymentSchedule3[[#This Row],[PMT NO]]&lt;&gt;"",EOMONTH(LoanStartDate,ROW(PaymentSchedule3[[#This Row],[PMT NO]])-ROW(PaymentSchedule3[[#Headers],[PMT NO]])-2)+DAY(LoanStartDate),"")</f>
        <v>51105</v>
      </c>
      <c r="D248" s="7">
        <f>IF(PaymentSchedule3[[#This Row],[PMT NO]]&lt;&gt;"",IF(ROW()-ROW(PaymentSchedule3[[#Headers],[BEGINNING BALANCE]])=1,LoanAmount,INDEX([ENDING BALANCE],ROW()-ROW(PaymentSchedule3[[#Headers],[BEGINNING BALANCE]])-1)),"")</f>
        <v>157703.23128983346</v>
      </c>
      <c r="E248" s="7">
        <f>IF(PaymentSchedule3[[#This Row],[PMT NO]]&lt;&gt;"",ScheduledPayment,"")</f>
        <v>1491.0635231826082</v>
      </c>
      <c r="F24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8" s="7">
        <f>IF(PaymentSchedule3[[#This Row],[PMT NO]]&lt;&gt;"",PaymentSchedule3[[#This Row],[TOTAL PAYMENT]]-PaymentSchedule3[[#This Row],[INTEREST]],"")</f>
        <v>991.6699574314689</v>
      </c>
      <c r="I248" s="7">
        <f>IF(PaymentSchedule3[[#This Row],[PMT NO]]&lt;&gt;"",PaymentSchedule3[[#This Row],[BEGINNING BALANCE]]*(InterestRate/PaymentsPerYear),"")</f>
        <v>499.39356575113931</v>
      </c>
      <c r="J248" s="7">
        <f>IF(PaymentSchedule3[[#This Row],[PMT NO]]&lt;&gt;"",IF(PaymentSchedule3[[#This Row],[SCHEDULED PAYMENT]]+PaymentSchedule3[[#This Row],[EXTRA PAYMENT]]&lt;=PaymentSchedule3[[#This Row],[BEGINNING BALANCE]],PaymentSchedule3[[#This Row],[BEGINNING BALANCE]]-PaymentSchedule3[[#This Row],[PRINCIPAL]],0),"")</f>
        <v>156711.56133240199</v>
      </c>
      <c r="K248" s="7">
        <f>IF(PaymentSchedule3[[#This Row],[PMT NO]]&lt;&gt;"",SUM(INDEX([INTEREST],1,1):PaymentSchedule3[[#This Row],[INTEREST]]),"")</f>
        <v>182638.29871076718</v>
      </c>
    </row>
    <row r="249" spans="2:11">
      <c r="B249" s="4">
        <f>IF(LoanIsGood,IF(ROW()-ROW(PaymentSchedule3[[#Headers],[PMT NO]])&gt;ScheduledNumberOfPayments,"",ROW()-ROW(PaymentSchedule3[[#Headers],[PMT NO]])),"")</f>
        <v>233</v>
      </c>
      <c r="C249" s="5">
        <f>IF(PaymentSchedule3[[#This Row],[PMT NO]]&lt;&gt;"",EOMONTH(LoanStartDate,ROW(PaymentSchedule3[[#This Row],[PMT NO]])-ROW(PaymentSchedule3[[#Headers],[PMT NO]])-2)+DAY(LoanStartDate),"")</f>
        <v>51136</v>
      </c>
      <c r="D249" s="7">
        <f>IF(PaymentSchedule3[[#This Row],[PMT NO]]&lt;&gt;"",IF(ROW()-ROW(PaymentSchedule3[[#Headers],[BEGINNING BALANCE]])=1,LoanAmount,INDEX([ENDING BALANCE],ROW()-ROW(PaymentSchedule3[[#Headers],[BEGINNING BALANCE]])-1)),"")</f>
        <v>156711.56133240199</v>
      </c>
      <c r="E249" s="7">
        <f>IF(PaymentSchedule3[[#This Row],[PMT NO]]&lt;&gt;"",ScheduledPayment,"")</f>
        <v>1491.0635231826082</v>
      </c>
      <c r="F24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49" s="7">
        <f>IF(PaymentSchedule3[[#This Row],[PMT NO]]&lt;&gt;"",PaymentSchedule3[[#This Row],[TOTAL PAYMENT]]-PaymentSchedule3[[#This Row],[INTEREST]],"")</f>
        <v>994.81024563000187</v>
      </c>
      <c r="I249" s="7">
        <f>IF(PaymentSchedule3[[#This Row],[PMT NO]]&lt;&gt;"",PaymentSchedule3[[#This Row],[BEGINNING BALANCE]]*(InterestRate/PaymentsPerYear),"")</f>
        <v>496.25327755260628</v>
      </c>
      <c r="J249" s="7">
        <f>IF(PaymentSchedule3[[#This Row],[PMT NO]]&lt;&gt;"",IF(PaymentSchedule3[[#This Row],[SCHEDULED PAYMENT]]+PaymentSchedule3[[#This Row],[EXTRA PAYMENT]]&lt;=PaymentSchedule3[[#This Row],[BEGINNING BALANCE]],PaymentSchedule3[[#This Row],[BEGINNING BALANCE]]-PaymentSchedule3[[#This Row],[PRINCIPAL]],0),"")</f>
        <v>155716.75108677198</v>
      </c>
      <c r="K249" s="7">
        <f>IF(PaymentSchedule3[[#This Row],[PMT NO]]&lt;&gt;"",SUM(INDEX([INTEREST],1,1):PaymentSchedule3[[#This Row],[INTEREST]]),"")</f>
        <v>183134.55198831978</v>
      </c>
    </row>
    <row r="250" spans="2:11">
      <c r="B250" s="4">
        <f>IF(LoanIsGood,IF(ROW()-ROW(PaymentSchedule3[[#Headers],[PMT NO]])&gt;ScheduledNumberOfPayments,"",ROW()-ROW(PaymentSchedule3[[#Headers],[PMT NO]])),"")</f>
        <v>234</v>
      </c>
      <c r="C250" s="5">
        <f>IF(PaymentSchedule3[[#This Row],[PMT NO]]&lt;&gt;"",EOMONTH(LoanStartDate,ROW(PaymentSchedule3[[#This Row],[PMT NO]])-ROW(PaymentSchedule3[[#Headers],[PMT NO]])-2)+DAY(LoanStartDate),"")</f>
        <v>51167</v>
      </c>
      <c r="D250" s="7">
        <f>IF(PaymentSchedule3[[#This Row],[PMT NO]]&lt;&gt;"",IF(ROW()-ROW(PaymentSchedule3[[#Headers],[BEGINNING BALANCE]])=1,LoanAmount,INDEX([ENDING BALANCE],ROW()-ROW(PaymentSchedule3[[#Headers],[BEGINNING BALANCE]])-1)),"")</f>
        <v>155716.75108677198</v>
      </c>
      <c r="E250" s="7">
        <f>IF(PaymentSchedule3[[#This Row],[PMT NO]]&lt;&gt;"",ScheduledPayment,"")</f>
        <v>1491.0635231826082</v>
      </c>
      <c r="F25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0" s="7">
        <f>IF(PaymentSchedule3[[#This Row],[PMT NO]]&lt;&gt;"",PaymentSchedule3[[#This Row],[TOTAL PAYMENT]]-PaymentSchedule3[[#This Row],[INTEREST]],"")</f>
        <v>997.9604780744969</v>
      </c>
      <c r="I250" s="7">
        <f>IF(PaymentSchedule3[[#This Row],[PMT NO]]&lt;&gt;"",PaymentSchedule3[[#This Row],[BEGINNING BALANCE]]*(InterestRate/PaymentsPerYear),"")</f>
        <v>493.10304510811125</v>
      </c>
      <c r="J250" s="7">
        <f>IF(PaymentSchedule3[[#This Row],[PMT NO]]&lt;&gt;"",IF(PaymentSchedule3[[#This Row],[SCHEDULED PAYMENT]]+PaymentSchedule3[[#This Row],[EXTRA PAYMENT]]&lt;=PaymentSchedule3[[#This Row],[BEGINNING BALANCE]],PaymentSchedule3[[#This Row],[BEGINNING BALANCE]]-PaymentSchedule3[[#This Row],[PRINCIPAL]],0),"")</f>
        <v>154718.79060869748</v>
      </c>
      <c r="K250" s="7">
        <f>IF(PaymentSchedule3[[#This Row],[PMT NO]]&lt;&gt;"",SUM(INDEX([INTEREST],1,1):PaymentSchedule3[[#This Row],[INTEREST]]),"")</f>
        <v>183627.6550334279</v>
      </c>
    </row>
    <row r="251" spans="2:11">
      <c r="B251" s="4">
        <f>IF(LoanIsGood,IF(ROW()-ROW(PaymentSchedule3[[#Headers],[PMT NO]])&gt;ScheduledNumberOfPayments,"",ROW()-ROW(PaymentSchedule3[[#Headers],[PMT NO]])),"")</f>
        <v>235</v>
      </c>
      <c r="C251" s="5">
        <f>IF(PaymentSchedule3[[#This Row],[PMT NO]]&lt;&gt;"",EOMONTH(LoanStartDate,ROW(PaymentSchedule3[[#This Row],[PMT NO]])-ROW(PaymentSchedule3[[#Headers],[PMT NO]])-2)+DAY(LoanStartDate),"")</f>
        <v>51196</v>
      </c>
      <c r="D251" s="7">
        <f>IF(PaymentSchedule3[[#This Row],[PMT NO]]&lt;&gt;"",IF(ROW()-ROW(PaymentSchedule3[[#Headers],[BEGINNING BALANCE]])=1,LoanAmount,INDEX([ENDING BALANCE],ROW()-ROW(PaymentSchedule3[[#Headers],[BEGINNING BALANCE]])-1)),"")</f>
        <v>154718.79060869748</v>
      </c>
      <c r="E251" s="7">
        <f>IF(PaymentSchedule3[[#This Row],[PMT NO]]&lt;&gt;"",ScheduledPayment,"")</f>
        <v>1491.0635231826082</v>
      </c>
      <c r="F25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1" s="7">
        <f>IF(PaymentSchedule3[[#This Row],[PMT NO]]&lt;&gt;"",PaymentSchedule3[[#This Row],[TOTAL PAYMENT]]-PaymentSchedule3[[#This Row],[INTEREST]],"")</f>
        <v>1001.1206862550662</v>
      </c>
      <c r="I251" s="7">
        <f>IF(PaymentSchedule3[[#This Row],[PMT NO]]&lt;&gt;"",PaymentSchedule3[[#This Row],[BEGINNING BALANCE]]*(InterestRate/PaymentsPerYear),"")</f>
        <v>489.94283692754203</v>
      </c>
      <c r="J251" s="7">
        <f>IF(PaymentSchedule3[[#This Row],[PMT NO]]&lt;&gt;"",IF(PaymentSchedule3[[#This Row],[SCHEDULED PAYMENT]]+PaymentSchedule3[[#This Row],[EXTRA PAYMENT]]&lt;=PaymentSchedule3[[#This Row],[BEGINNING BALANCE]],PaymentSchedule3[[#This Row],[BEGINNING BALANCE]]-PaymentSchedule3[[#This Row],[PRINCIPAL]],0),"")</f>
        <v>153717.66992244241</v>
      </c>
      <c r="K251" s="7">
        <f>IF(PaymentSchedule3[[#This Row],[PMT NO]]&lt;&gt;"",SUM(INDEX([INTEREST],1,1):PaymentSchedule3[[#This Row],[INTEREST]]),"")</f>
        <v>184117.59787035544</v>
      </c>
    </row>
    <row r="252" spans="2:11">
      <c r="B252" s="4">
        <f>IF(LoanIsGood,IF(ROW()-ROW(PaymentSchedule3[[#Headers],[PMT NO]])&gt;ScheduledNumberOfPayments,"",ROW()-ROW(PaymentSchedule3[[#Headers],[PMT NO]])),"")</f>
        <v>236</v>
      </c>
      <c r="C252" s="5">
        <f>IF(PaymentSchedule3[[#This Row],[PMT NO]]&lt;&gt;"",EOMONTH(LoanStartDate,ROW(PaymentSchedule3[[#This Row],[PMT NO]])-ROW(PaymentSchedule3[[#Headers],[PMT NO]])-2)+DAY(LoanStartDate),"")</f>
        <v>51227</v>
      </c>
      <c r="D252" s="7">
        <f>IF(PaymentSchedule3[[#This Row],[PMT NO]]&lt;&gt;"",IF(ROW()-ROW(PaymentSchedule3[[#Headers],[BEGINNING BALANCE]])=1,LoanAmount,INDEX([ENDING BALANCE],ROW()-ROW(PaymentSchedule3[[#Headers],[BEGINNING BALANCE]])-1)),"")</f>
        <v>153717.66992244241</v>
      </c>
      <c r="E252" s="7">
        <f>IF(PaymentSchedule3[[#This Row],[PMT NO]]&lt;&gt;"",ScheduledPayment,"")</f>
        <v>1491.0635231826082</v>
      </c>
      <c r="F25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2" s="7">
        <f>IF(PaymentSchedule3[[#This Row],[PMT NO]]&lt;&gt;"",PaymentSchedule3[[#This Row],[TOTAL PAYMENT]]-PaymentSchedule3[[#This Row],[INTEREST]],"")</f>
        <v>1004.2909017615405</v>
      </c>
      <c r="I252" s="7">
        <f>IF(PaymentSchedule3[[#This Row],[PMT NO]]&lt;&gt;"",PaymentSchedule3[[#This Row],[BEGINNING BALANCE]]*(InterestRate/PaymentsPerYear),"")</f>
        <v>486.77262142106764</v>
      </c>
      <c r="J252" s="7">
        <f>IF(PaymentSchedule3[[#This Row],[PMT NO]]&lt;&gt;"",IF(PaymentSchedule3[[#This Row],[SCHEDULED PAYMENT]]+PaymentSchedule3[[#This Row],[EXTRA PAYMENT]]&lt;=PaymentSchedule3[[#This Row],[BEGINNING BALANCE]],PaymentSchedule3[[#This Row],[BEGINNING BALANCE]]-PaymentSchedule3[[#This Row],[PRINCIPAL]],0),"")</f>
        <v>152713.37902068088</v>
      </c>
      <c r="K252" s="7">
        <f>IF(PaymentSchedule3[[#This Row],[PMT NO]]&lt;&gt;"",SUM(INDEX([INTEREST],1,1):PaymentSchedule3[[#This Row],[INTEREST]]),"")</f>
        <v>184604.3704917765</v>
      </c>
    </row>
    <row r="253" spans="2:11">
      <c r="B253" s="4">
        <f>IF(LoanIsGood,IF(ROW()-ROW(PaymentSchedule3[[#Headers],[PMT NO]])&gt;ScheduledNumberOfPayments,"",ROW()-ROW(PaymentSchedule3[[#Headers],[PMT NO]])),"")</f>
        <v>237</v>
      </c>
      <c r="C253" s="5">
        <f>IF(PaymentSchedule3[[#This Row],[PMT NO]]&lt;&gt;"",EOMONTH(LoanStartDate,ROW(PaymentSchedule3[[#This Row],[PMT NO]])-ROW(PaymentSchedule3[[#Headers],[PMT NO]])-2)+DAY(LoanStartDate),"")</f>
        <v>51257</v>
      </c>
      <c r="D253" s="7">
        <f>IF(PaymentSchedule3[[#This Row],[PMT NO]]&lt;&gt;"",IF(ROW()-ROW(PaymentSchedule3[[#Headers],[BEGINNING BALANCE]])=1,LoanAmount,INDEX([ENDING BALANCE],ROW()-ROW(PaymentSchedule3[[#Headers],[BEGINNING BALANCE]])-1)),"")</f>
        <v>152713.37902068088</v>
      </c>
      <c r="E253" s="7">
        <f>IF(PaymentSchedule3[[#This Row],[PMT NO]]&lt;&gt;"",ScheduledPayment,"")</f>
        <v>1491.0635231826082</v>
      </c>
      <c r="F25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3" s="7">
        <f>IF(PaymentSchedule3[[#This Row],[PMT NO]]&lt;&gt;"",PaymentSchedule3[[#This Row],[TOTAL PAYMENT]]-PaymentSchedule3[[#This Row],[INTEREST]],"")</f>
        <v>1007.4711562837854</v>
      </c>
      <c r="I253" s="7">
        <f>IF(PaymentSchedule3[[#This Row],[PMT NO]]&lt;&gt;"",PaymentSchedule3[[#This Row],[BEGINNING BALANCE]]*(InterestRate/PaymentsPerYear),"")</f>
        <v>483.59236689882277</v>
      </c>
      <c r="J253" s="7">
        <f>IF(PaymentSchedule3[[#This Row],[PMT NO]]&lt;&gt;"",IF(PaymentSchedule3[[#This Row],[SCHEDULED PAYMENT]]+PaymentSchedule3[[#This Row],[EXTRA PAYMENT]]&lt;=PaymentSchedule3[[#This Row],[BEGINNING BALANCE]],PaymentSchedule3[[#This Row],[BEGINNING BALANCE]]-PaymentSchedule3[[#This Row],[PRINCIPAL]],0),"")</f>
        <v>151705.9078643971</v>
      </c>
      <c r="K253" s="7">
        <f>IF(PaymentSchedule3[[#This Row],[PMT NO]]&lt;&gt;"",SUM(INDEX([INTEREST],1,1):PaymentSchedule3[[#This Row],[INTEREST]]),"")</f>
        <v>185087.96285867531</v>
      </c>
    </row>
    <row r="254" spans="2:11">
      <c r="B254" s="4">
        <f>IF(LoanIsGood,IF(ROW()-ROW(PaymentSchedule3[[#Headers],[PMT NO]])&gt;ScheduledNumberOfPayments,"",ROW()-ROW(PaymentSchedule3[[#Headers],[PMT NO]])),"")</f>
        <v>238</v>
      </c>
      <c r="C254" s="5">
        <f>IF(PaymentSchedule3[[#This Row],[PMT NO]]&lt;&gt;"",EOMONTH(LoanStartDate,ROW(PaymentSchedule3[[#This Row],[PMT NO]])-ROW(PaymentSchedule3[[#Headers],[PMT NO]])-2)+DAY(LoanStartDate),"")</f>
        <v>51288</v>
      </c>
      <c r="D254" s="7">
        <f>IF(PaymentSchedule3[[#This Row],[PMT NO]]&lt;&gt;"",IF(ROW()-ROW(PaymentSchedule3[[#Headers],[BEGINNING BALANCE]])=1,LoanAmount,INDEX([ENDING BALANCE],ROW()-ROW(PaymentSchedule3[[#Headers],[BEGINNING BALANCE]])-1)),"")</f>
        <v>151705.9078643971</v>
      </c>
      <c r="E254" s="7">
        <f>IF(PaymentSchedule3[[#This Row],[PMT NO]]&lt;&gt;"",ScheduledPayment,"")</f>
        <v>1491.0635231826082</v>
      </c>
      <c r="F25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4" s="7">
        <f>IF(PaymentSchedule3[[#This Row],[PMT NO]]&lt;&gt;"",PaymentSchedule3[[#This Row],[TOTAL PAYMENT]]-PaymentSchedule3[[#This Row],[INTEREST]],"")</f>
        <v>1010.6614816120173</v>
      </c>
      <c r="I254" s="7">
        <f>IF(PaymentSchedule3[[#This Row],[PMT NO]]&lt;&gt;"",PaymentSchedule3[[#This Row],[BEGINNING BALANCE]]*(InterestRate/PaymentsPerYear),"")</f>
        <v>480.40204157059082</v>
      </c>
      <c r="J254" s="7">
        <f>IF(PaymentSchedule3[[#This Row],[PMT NO]]&lt;&gt;"",IF(PaymentSchedule3[[#This Row],[SCHEDULED PAYMENT]]+PaymentSchedule3[[#This Row],[EXTRA PAYMENT]]&lt;=PaymentSchedule3[[#This Row],[BEGINNING BALANCE]],PaymentSchedule3[[#This Row],[BEGINNING BALANCE]]-PaymentSchedule3[[#This Row],[PRINCIPAL]],0),"")</f>
        <v>150695.24638278509</v>
      </c>
      <c r="K254" s="7">
        <f>IF(PaymentSchedule3[[#This Row],[PMT NO]]&lt;&gt;"",SUM(INDEX([INTEREST],1,1):PaymentSchedule3[[#This Row],[INTEREST]]),"")</f>
        <v>185568.36490024591</v>
      </c>
    </row>
    <row r="255" spans="2:11">
      <c r="B255" s="4">
        <f>IF(LoanIsGood,IF(ROW()-ROW(PaymentSchedule3[[#Headers],[PMT NO]])&gt;ScheduledNumberOfPayments,"",ROW()-ROW(PaymentSchedule3[[#Headers],[PMT NO]])),"")</f>
        <v>239</v>
      </c>
      <c r="C255" s="5">
        <f>IF(PaymentSchedule3[[#This Row],[PMT NO]]&lt;&gt;"",EOMONTH(LoanStartDate,ROW(PaymentSchedule3[[#This Row],[PMT NO]])-ROW(PaymentSchedule3[[#Headers],[PMT NO]])-2)+DAY(LoanStartDate),"")</f>
        <v>51318</v>
      </c>
      <c r="D255" s="7">
        <f>IF(PaymentSchedule3[[#This Row],[PMT NO]]&lt;&gt;"",IF(ROW()-ROW(PaymentSchedule3[[#Headers],[BEGINNING BALANCE]])=1,LoanAmount,INDEX([ENDING BALANCE],ROW()-ROW(PaymentSchedule3[[#Headers],[BEGINNING BALANCE]])-1)),"")</f>
        <v>150695.24638278509</v>
      </c>
      <c r="E255" s="7">
        <f>IF(PaymentSchedule3[[#This Row],[PMT NO]]&lt;&gt;"",ScheduledPayment,"")</f>
        <v>1491.0635231826082</v>
      </c>
      <c r="F25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5" s="7">
        <f>IF(PaymentSchedule3[[#This Row],[PMT NO]]&lt;&gt;"",PaymentSchedule3[[#This Row],[TOTAL PAYMENT]]-PaymentSchedule3[[#This Row],[INTEREST]],"")</f>
        <v>1013.861909637122</v>
      </c>
      <c r="I255" s="7">
        <f>IF(PaymentSchedule3[[#This Row],[PMT NO]]&lt;&gt;"",PaymentSchedule3[[#This Row],[BEGINNING BALANCE]]*(InterestRate/PaymentsPerYear),"")</f>
        <v>477.20161354548611</v>
      </c>
      <c r="J255" s="7">
        <f>IF(PaymentSchedule3[[#This Row],[PMT NO]]&lt;&gt;"",IF(PaymentSchedule3[[#This Row],[SCHEDULED PAYMENT]]+PaymentSchedule3[[#This Row],[EXTRA PAYMENT]]&lt;=PaymentSchedule3[[#This Row],[BEGINNING BALANCE]],PaymentSchedule3[[#This Row],[BEGINNING BALANCE]]-PaymentSchedule3[[#This Row],[PRINCIPAL]],0),"")</f>
        <v>149681.38447314798</v>
      </c>
      <c r="K255" s="7">
        <f>IF(PaymentSchedule3[[#This Row],[PMT NO]]&lt;&gt;"",SUM(INDEX([INTEREST],1,1):PaymentSchedule3[[#This Row],[INTEREST]]),"")</f>
        <v>186045.56651379139</v>
      </c>
    </row>
    <row r="256" spans="2:11">
      <c r="B256" s="4">
        <f>IF(LoanIsGood,IF(ROW()-ROW(PaymentSchedule3[[#Headers],[PMT NO]])&gt;ScheduledNumberOfPayments,"",ROW()-ROW(PaymentSchedule3[[#Headers],[PMT NO]])),"")</f>
        <v>240</v>
      </c>
      <c r="C256" s="5">
        <f>IF(PaymentSchedule3[[#This Row],[PMT NO]]&lt;&gt;"",EOMONTH(LoanStartDate,ROW(PaymentSchedule3[[#This Row],[PMT NO]])-ROW(PaymentSchedule3[[#Headers],[PMT NO]])-2)+DAY(LoanStartDate),"")</f>
        <v>51349</v>
      </c>
      <c r="D256" s="7">
        <f>IF(PaymentSchedule3[[#This Row],[PMT NO]]&lt;&gt;"",IF(ROW()-ROW(PaymentSchedule3[[#Headers],[BEGINNING BALANCE]])=1,LoanAmount,INDEX([ENDING BALANCE],ROW()-ROW(PaymentSchedule3[[#Headers],[BEGINNING BALANCE]])-1)),"")</f>
        <v>149681.38447314798</v>
      </c>
      <c r="E256" s="7">
        <f>IF(PaymentSchedule3[[#This Row],[PMT NO]]&lt;&gt;"",ScheduledPayment,"")</f>
        <v>1491.0635231826082</v>
      </c>
      <c r="F25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6" s="7">
        <f>IF(PaymentSchedule3[[#This Row],[PMT NO]]&lt;&gt;"",PaymentSchedule3[[#This Row],[TOTAL PAYMENT]]-PaymentSchedule3[[#This Row],[INTEREST]],"")</f>
        <v>1017.0724723509729</v>
      </c>
      <c r="I256" s="7">
        <f>IF(PaymentSchedule3[[#This Row],[PMT NO]]&lt;&gt;"",PaymentSchedule3[[#This Row],[BEGINNING BALANCE]]*(InterestRate/PaymentsPerYear),"")</f>
        <v>473.99105083163522</v>
      </c>
      <c r="J256" s="7">
        <f>IF(PaymentSchedule3[[#This Row],[PMT NO]]&lt;&gt;"",IF(PaymentSchedule3[[#This Row],[SCHEDULED PAYMENT]]+PaymentSchedule3[[#This Row],[EXTRA PAYMENT]]&lt;=PaymentSchedule3[[#This Row],[BEGINNING BALANCE]],PaymentSchedule3[[#This Row],[BEGINNING BALANCE]]-PaymentSchedule3[[#This Row],[PRINCIPAL]],0),"")</f>
        <v>148664.31200079701</v>
      </c>
      <c r="K256" s="7">
        <f>IF(PaymentSchedule3[[#This Row],[PMT NO]]&lt;&gt;"",SUM(INDEX([INTEREST],1,1):PaymentSchedule3[[#This Row],[INTEREST]]),"")</f>
        <v>186519.55756462301</v>
      </c>
    </row>
    <row r="257" spans="2:11">
      <c r="B257" s="4">
        <f>IF(LoanIsGood,IF(ROW()-ROW(PaymentSchedule3[[#Headers],[PMT NO]])&gt;ScheduledNumberOfPayments,"",ROW()-ROW(PaymentSchedule3[[#Headers],[PMT NO]])),"")</f>
        <v>241</v>
      </c>
      <c r="C257" s="5">
        <f>IF(PaymentSchedule3[[#This Row],[PMT NO]]&lt;&gt;"",EOMONTH(LoanStartDate,ROW(PaymentSchedule3[[#This Row],[PMT NO]])-ROW(PaymentSchedule3[[#Headers],[PMT NO]])-2)+DAY(LoanStartDate),"")</f>
        <v>51380</v>
      </c>
      <c r="D257" s="7">
        <f>IF(PaymentSchedule3[[#This Row],[PMT NO]]&lt;&gt;"",IF(ROW()-ROW(PaymentSchedule3[[#Headers],[BEGINNING BALANCE]])=1,LoanAmount,INDEX([ENDING BALANCE],ROW()-ROW(PaymentSchedule3[[#Headers],[BEGINNING BALANCE]])-1)),"")</f>
        <v>148664.31200079701</v>
      </c>
      <c r="E257" s="7">
        <f>IF(PaymentSchedule3[[#This Row],[PMT NO]]&lt;&gt;"",ScheduledPayment,"")</f>
        <v>1491.0635231826082</v>
      </c>
      <c r="F25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7" s="7">
        <f>IF(PaymentSchedule3[[#This Row],[PMT NO]]&lt;&gt;"",PaymentSchedule3[[#This Row],[TOTAL PAYMENT]]-PaymentSchedule3[[#This Row],[INTEREST]],"")</f>
        <v>1020.2932018467509</v>
      </c>
      <c r="I257" s="7">
        <f>IF(PaymentSchedule3[[#This Row],[PMT NO]]&lt;&gt;"",PaymentSchedule3[[#This Row],[BEGINNING BALANCE]]*(InterestRate/PaymentsPerYear),"")</f>
        <v>470.7703213358572</v>
      </c>
      <c r="J257" s="7">
        <f>IF(PaymentSchedule3[[#This Row],[PMT NO]]&lt;&gt;"",IF(PaymentSchedule3[[#This Row],[SCHEDULED PAYMENT]]+PaymentSchedule3[[#This Row],[EXTRA PAYMENT]]&lt;=PaymentSchedule3[[#This Row],[BEGINNING BALANCE]],PaymentSchedule3[[#This Row],[BEGINNING BALANCE]]-PaymentSchedule3[[#This Row],[PRINCIPAL]],0),"")</f>
        <v>147644.01879895027</v>
      </c>
      <c r="K257" s="7">
        <f>IF(PaymentSchedule3[[#This Row],[PMT NO]]&lt;&gt;"",SUM(INDEX([INTEREST],1,1):PaymentSchedule3[[#This Row],[INTEREST]]),"")</f>
        <v>186990.32788595886</v>
      </c>
    </row>
    <row r="258" spans="2:11">
      <c r="B258" s="4">
        <f>IF(LoanIsGood,IF(ROW()-ROW(PaymentSchedule3[[#Headers],[PMT NO]])&gt;ScheduledNumberOfPayments,"",ROW()-ROW(PaymentSchedule3[[#Headers],[PMT NO]])),"")</f>
        <v>242</v>
      </c>
      <c r="C258" s="5">
        <f>IF(PaymentSchedule3[[#This Row],[PMT NO]]&lt;&gt;"",EOMONTH(LoanStartDate,ROW(PaymentSchedule3[[#This Row],[PMT NO]])-ROW(PaymentSchedule3[[#Headers],[PMT NO]])-2)+DAY(LoanStartDate),"")</f>
        <v>51410</v>
      </c>
      <c r="D258" s="7">
        <f>IF(PaymentSchedule3[[#This Row],[PMT NO]]&lt;&gt;"",IF(ROW()-ROW(PaymentSchedule3[[#Headers],[BEGINNING BALANCE]])=1,LoanAmount,INDEX([ENDING BALANCE],ROW()-ROW(PaymentSchedule3[[#Headers],[BEGINNING BALANCE]])-1)),"")</f>
        <v>147644.01879895027</v>
      </c>
      <c r="E258" s="7">
        <f>IF(PaymentSchedule3[[#This Row],[PMT NO]]&lt;&gt;"",ScheduledPayment,"")</f>
        <v>1491.0635231826082</v>
      </c>
      <c r="F25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8" s="7">
        <f>IF(PaymentSchedule3[[#This Row],[PMT NO]]&lt;&gt;"",PaymentSchedule3[[#This Row],[TOTAL PAYMENT]]-PaymentSchedule3[[#This Row],[INTEREST]],"")</f>
        <v>1023.5241303192656</v>
      </c>
      <c r="I258" s="7">
        <f>IF(PaymentSchedule3[[#This Row],[PMT NO]]&lt;&gt;"",PaymentSchedule3[[#This Row],[BEGINNING BALANCE]]*(InterestRate/PaymentsPerYear),"")</f>
        <v>467.53939286334253</v>
      </c>
      <c r="J258" s="7">
        <f>IF(PaymentSchedule3[[#This Row],[PMT NO]]&lt;&gt;"",IF(PaymentSchedule3[[#This Row],[SCHEDULED PAYMENT]]+PaymentSchedule3[[#This Row],[EXTRA PAYMENT]]&lt;=PaymentSchedule3[[#This Row],[BEGINNING BALANCE]],PaymentSchedule3[[#This Row],[BEGINNING BALANCE]]-PaymentSchedule3[[#This Row],[PRINCIPAL]],0),"")</f>
        <v>146620.494668631</v>
      </c>
      <c r="K258" s="7">
        <f>IF(PaymentSchedule3[[#This Row],[PMT NO]]&lt;&gt;"",SUM(INDEX([INTEREST],1,1):PaymentSchedule3[[#This Row],[INTEREST]]),"")</f>
        <v>187457.8672788222</v>
      </c>
    </row>
    <row r="259" spans="2:11">
      <c r="B259" s="4">
        <f>IF(LoanIsGood,IF(ROW()-ROW(PaymentSchedule3[[#Headers],[PMT NO]])&gt;ScheduledNumberOfPayments,"",ROW()-ROW(PaymentSchedule3[[#Headers],[PMT NO]])),"")</f>
        <v>243</v>
      </c>
      <c r="C259" s="5">
        <f>IF(PaymentSchedule3[[#This Row],[PMT NO]]&lt;&gt;"",EOMONTH(LoanStartDate,ROW(PaymentSchedule3[[#This Row],[PMT NO]])-ROW(PaymentSchedule3[[#Headers],[PMT NO]])-2)+DAY(LoanStartDate),"")</f>
        <v>51441</v>
      </c>
      <c r="D259" s="7">
        <f>IF(PaymentSchedule3[[#This Row],[PMT NO]]&lt;&gt;"",IF(ROW()-ROW(PaymentSchedule3[[#Headers],[BEGINNING BALANCE]])=1,LoanAmount,INDEX([ENDING BALANCE],ROW()-ROW(PaymentSchedule3[[#Headers],[BEGINNING BALANCE]])-1)),"")</f>
        <v>146620.494668631</v>
      </c>
      <c r="E259" s="7">
        <f>IF(PaymentSchedule3[[#This Row],[PMT NO]]&lt;&gt;"",ScheduledPayment,"")</f>
        <v>1491.0635231826082</v>
      </c>
      <c r="F25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59" s="7">
        <f>IF(PaymentSchedule3[[#This Row],[PMT NO]]&lt;&gt;"",PaymentSchedule3[[#This Row],[TOTAL PAYMENT]]-PaymentSchedule3[[#This Row],[INTEREST]],"")</f>
        <v>1026.7652900652765</v>
      </c>
      <c r="I259" s="7">
        <f>IF(PaymentSchedule3[[#This Row],[PMT NO]]&lt;&gt;"",PaymentSchedule3[[#This Row],[BEGINNING BALANCE]]*(InterestRate/PaymentsPerYear),"")</f>
        <v>464.29823311733151</v>
      </c>
      <c r="J259" s="7">
        <f>IF(PaymentSchedule3[[#This Row],[PMT NO]]&lt;&gt;"",IF(PaymentSchedule3[[#This Row],[SCHEDULED PAYMENT]]+PaymentSchedule3[[#This Row],[EXTRA PAYMENT]]&lt;=PaymentSchedule3[[#This Row],[BEGINNING BALANCE]],PaymentSchedule3[[#This Row],[BEGINNING BALANCE]]-PaymentSchedule3[[#This Row],[PRINCIPAL]],0),"")</f>
        <v>145593.72937856571</v>
      </c>
      <c r="K259" s="7">
        <f>IF(PaymentSchedule3[[#This Row],[PMT NO]]&lt;&gt;"",SUM(INDEX([INTEREST],1,1):PaymentSchedule3[[#This Row],[INTEREST]]),"")</f>
        <v>187922.16551193953</v>
      </c>
    </row>
    <row r="260" spans="2:11">
      <c r="B260" s="4">
        <f>IF(LoanIsGood,IF(ROW()-ROW(PaymentSchedule3[[#Headers],[PMT NO]])&gt;ScheduledNumberOfPayments,"",ROW()-ROW(PaymentSchedule3[[#Headers],[PMT NO]])),"")</f>
        <v>244</v>
      </c>
      <c r="C260" s="5">
        <f>IF(PaymentSchedule3[[#This Row],[PMT NO]]&lt;&gt;"",EOMONTH(LoanStartDate,ROW(PaymentSchedule3[[#This Row],[PMT NO]])-ROW(PaymentSchedule3[[#Headers],[PMT NO]])-2)+DAY(LoanStartDate),"")</f>
        <v>51471</v>
      </c>
      <c r="D260" s="7">
        <f>IF(PaymentSchedule3[[#This Row],[PMT NO]]&lt;&gt;"",IF(ROW()-ROW(PaymentSchedule3[[#Headers],[BEGINNING BALANCE]])=1,LoanAmount,INDEX([ENDING BALANCE],ROW()-ROW(PaymentSchedule3[[#Headers],[BEGINNING BALANCE]])-1)),"")</f>
        <v>145593.72937856571</v>
      </c>
      <c r="E260" s="7">
        <f>IF(PaymentSchedule3[[#This Row],[PMT NO]]&lt;&gt;"",ScheduledPayment,"")</f>
        <v>1491.0635231826082</v>
      </c>
      <c r="F26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0" s="7">
        <f>IF(PaymentSchedule3[[#This Row],[PMT NO]]&lt;&gt;"",PaymentSchedule3[[#This Row],[TOTAL PAYMENT]]-PaymentSchedule3[[#This Row],[INTEREST]],"")</f>
        <v>1030.0167134838168</v>
      </c>
      <c r="I260" s="7">
        <f>IF(PaymentSchedule3[[#This Row],[PMT NO]]&lt;&gt;"",PaymentSchedule3[[#This Row],[BEGINNING BALANCE]]*(InterestRate/PaymentsPerYear),"")</f>
        <v>461.04680969879138</v>
      </c>
      <c r="J260" s="7">
        <f>IF(PaymentSchedule3[[#This Row],[PMT NO]]&lt;&gt;"",IF(PaymentSchedule3[[#This Row],[SCHEDULED PAYMENT]]+PaymentSchedule3[[#This Row],[EXTRA PAYMENT]]&lt;=PaymentSchedule3[[#This Row],[BEGINNING BALANCE]],PaymentSchedule3[[#This Row],[BEGINNING BALANCE]]-PaymentSchedule3[[#This Row],[PRINCIPAL]],0),"")</f>
        <v>144563.7126650819</v>
      </c>
      <c r="K260" s="7">
        <f>IF(PaymentSchedule3[[#This Row],[PMT NO]]&lt;&gt;"",SUM(INDEX([INTEREST],1,1):PaymentSchedule3[[#This Row],[INTEREST]]),"")</f>
        <v>188383.21232163833</v>
      </c>
    </row>
    <row r="261" spans="2:11">
      <c r="B261" s="4">
        <f>IF(LoanIsGood,IF(ROW()-ROW(PaymentSchedule3[[#Headers],[PMT NO]])&gt;ScheduledNumberOfPayments,"",ROW()-ROW(PaymentSchedule3[[#Headers],[PMT NO]])),"")</f>
        <v>245</v>
      </c>
      <c r="C261" s="5">
        <f>IF(PaymentSchedule3[[#This Row],[PMT NO]]&lt;&gt;"",EOMONTH(LoanStartDate,ROW(PaymentSchedule3[[#This Row],[PMT NO]])-ROW(PaymentSchedule3[[#Headers],[PMT NO]])-2)+DAY(LoanStartDate),"")</f>
        <v>51502</v>
      </c>
      <c r="D261" s="7">
        <f>IF(PaymentSchedule3[[#This Row],[PMT NO]]&lt;&gt;"",IF(ROW()-ROW(PaymentSchedule3[[#Headers],[BEGINNING BALANCE]])=1,LoanAmount,INDEX([ENDING BALANCE],ROW()-ROW(PaymentSchedule3[[#Headers],[BEGINNING BALANCE]])-1)),"")</f>
        <v>144563.7126650819</v>
      </c>
      <c r="E261" s="7">
        <f>IF(PaymentSchedule3[[#This Row],[PMT NO]]&lt;&gt;"",ScheduledPayment,"")</f>
        <v>1491.0635231826082</v>
      </c>
      <c r="F26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1" s="7">
        <f>IF(PaymentSchedule3[[#This Row],[PMT NO]]&lt;&gt;"",PaymentSchedule3[[#This Row],[TOTAL PAYMENT]]-PaymentSchedule3[[#This Row],[INTEREST]],"")</f>
        <v>1033.2784330765155</v>
      </c>
      <c r="I261" s="7">
        <f>IF(PaymentSchedule3[[#This Row],[PMT NO]]&lt;&gt;"",PaymentSchedule3[[#This Row],[BEGINNING BALANCE]]*(InterestRate/PaymentsPerYear),"")</f>
        <v>457.78509010609264</v>
      </c>
      <c r="J261" s="7">
        <f>IF(PaymentSchedule3[[#This Row],[PMT NO]]&lt;&gt;"",IF(PaymentSchedule3[[#This Row],[SCHEDULED PAYMENT]]+PaymentSchedule3[[#This Row],[EXTRA PAYMENT]]&lt;=PaymentSchedule3[[#This Row],[BEGINNING BALANCE]],PaymentSchedule3[[#This Row],[BEGINNING BALANCE]]-PaymentSchedule3[[#This Row],[PRINCIPAL]],0),"")</f>
        <v>143530.43423200538</v>
      </c>
      <c r="K261" s="7">
        <f>IF(PaymentSchedule3[[#This Row],[PMT NO]]&lt;&gt;"",SUM(INDEX([INTEREST],1,1):PaymentSchedule3[[#This Row],[INTEREST]]),"")</f>
        <v>188840.99741174444</v>
      </c>
    </row>
    <row r="262" spans="2:11">
      <c r="B262" s="4">
        <f>IF(LoanIsGood,IF(ROW()-ROW(PaymentSchedule3[[#Headers],[PMT NO]])&gt;ScheduledNumberOfPayments,"",ROW()-ROW(PaymentSchedule3[[#Headers],[PMT NO]])),"")</f>
        <v>246</v>
      </c>
      <c r="C262" s="5">
        <f>IF(PaymentSchedule3[[#This Row],[PMT NO]]&lt;&gt;"",EOMONTH(LoanStartDate,ROW(PaymentSchedule3[[#This Row],[PMT NO]])-ROW(PaymentSchedule3[[#Headers],[PMT NO]])-2)+DAY(LoanStartDate),"")</f>
        <v>51533</v>
      </c>
      <c r="D262" s="7">
        <f>IF(PaymentSchedule3[[#This Row],[PMT NO]]&lt;&gt;"",IF(ROW()-ROW(PaymentSchedule3[[#Headers],[BEGINNING BALANCE]])=1,LoanAmount,INDEX([ENDING BALANCE],ROW()-ROW(PaymentSchedule3[[#Headers],[BEGINNING BALANCE]])-1)),"")</f>
        <v>143530.43423200538</v>
      </c>
      <c r="E262" s="7">
        <f>IF(PaymentSchedule3[[#This Row],[PMT NO]]&lt;&gt;"",ScheduledPayment,"")</f>
        <v>1491.0635231826082</v>
      </c>
      <c r="F26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2" s="7">
        <f>IF(PaymentSchedule3[[#This Row],[PMT NO]]&lt;&gt;"",PaymentSchedule3[[#This Row],[TOTAL PAYMENT]]-PaymentSchedule3[[#This Row],[INTEREST]],"")</f>
        <v>1036.5504814479245</v>
      </c>
      <c r="I262" s="7">
        <f>IF(PaymentSchedule3[[#This Row],[PMT NO]]&lt;&gt;"",PaymentSchedule3[[#This Row],[BEGINNING BALANCE]]*(InterestRate/PaymentsPerYear),"")</f>
        <v>454.51304173468372</v>
      </c>
      <c r="J262" s="7">
        <f>IF(PaymentSchedule3[[#This Row],[PMT NO]]&lt;&gt;"",IF(PaymentSchedule3[[#This Row],[SCHEDULED PAYMENT]]+PaymentSchedule3[[#This Row],[EXTRA PAYMENT]]&lt;=PaymentSchedule3[[#This Row],[BEGINNING BALANCE]],PaymentSchedule3[[#This Row],[BEGINNING BALANCE]]-PaymentSchedule3[[#This Row],[PRINCIPAL]],0),"")</f>
        <v>142493.88375055746</v>
      </c>
      <c r="K262" s="7">
        <f>IF(PaymentSchedule3[[#This Row],[PMT NO]]&lt;&gt;"",SUM(INDEX([INTEREST],1,1):PaymentSchedule3[[#This Row],[INTEREST]]),"")</f>
        <v>189295.51045347913</v>
      </c>
    </row>
    <row r="263" spans="2:11">
      <c r="B263" s="4">
        <f>IF(LoanIsGood,IF(ROW()-ROW(PaymentSchedule3[[#Headers],[PMT NO]])&gt;ScheduledNumberOfPayments,"",ROW()-ROW(PaymentSchedule3[[#Headers],[PMT NO]])),"")</f>
        <v>247</v>
      </c>
      <c r="C263" s="5">
        <f>IF(PaymentSchedule3[[#This Row],[PMT NO]]&lt;&gt;"",EOMONTH(LoanStartDate,ROW(PaymentSchedule3[[#This Row],[PMT NO]])-ROW(PaymentSchedule3[[#Headers],[PMT NO]])-2)+DAY(LoanStartDate),"")</f>
        <v>51561</v>
      </c>
      <c r="D263" s="7">
        <f>IF(PaymentSchedule3[[#This Row],[PMT NO]]&lt;&gt;"",IF(ROW()-ROW(PaymentSchedule3[[#Headers],[BEGINNING BALANCE]])=1,LoanAmount,INDEX([ENDING BALANCE],ROW()-ROW(PaymentSchedule3[[#Headers],[BEGINNING BALANCE]])-1)),"")</f>
        <v>142493.88375055746</v>
      </c>
      <c r="E263" s="7">
        <f>IF(PaymentSchedule3[[#This Row],[PMT NO]]&lt;&gt;"",ScheduledPayment,"")</f>
        <v>1491.0635231826082</v>
      </c>
      <c r="F26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3" s="7">
        <f>IF(PaymentSchedule3[[#This Row],[PMT NO]]&lt;&gt;"",PaymentSchedule3[[#This Row],[TOTAL PAYMENT]]-PaymentSchedule3[[#This Row],[INTEREST]],"")</f>
        <v>1039.8328913058428</v>
      </c>
      <c r="I263" s="7">
        <f>IF(PaymentSchedule3[[#This Row],[PMT NO]]&lt;&gt;"",PaymentSchedule3[[#This Row],[BEGINNING BALANCE]]*(InterestRate/PaymentsPerYear),"")</f>
        <v>451.2306318767653</v>
      </c>
      <c r="J263" s="7">
        <f>IF(PaymentSchedule3[[#This Row],[PMT NO]]&lt;&gt;"",IF(PaymentSchedule3[[#This Row],[SCHEDULED PAYMENT]]+PaymentSchedule3[[#This Row],[EXTRA PAYMENT]]&lt;=PaymentSchedule3[[#This Row],[BEGINNING BALANCE]],PaymentSchedule3[[#This Row],[BEGINNING BALANCE]]-PaymentSchedule3[[#This Row],[PRINCIPAL]],0),"")</f>
        <v>141454.05085925161</v>
      </c>
      <c r="K263" s="7">
        <f>IF(PaymentSchedule3[[#This Row],[PMT NO]]&lt;&gt;"",SUM(INDEX([INTEREST],1,1):PaymentSchedule3[[#This Row],[INTEREST]]),"")</f>
        <v>189746.7410853559</v>
      </c>
    </row>
    <row r="264" spans="2:11">
      <c r="B264" s="4">
        <f>IF(LoanIsGood,IF(ROW()-ROW(PaymentSchedule3[[#Headers],[PMT NO]])&gt;ScheduledNumberOfPayments,"",ROW()-ROW(PaymentSchedule3[[#Headers],[PMT NO]])),"")</f>
        <v>248</v>
      </c>
      <c r="C264" s="5">
        <f>IF(PaymentSchedule3[[#This Row],[PMT NO]]&lt;&gt;"",EOMONTH(LoanStartDate,ROW(PaymentSchedule3[[#This Row],[PMT NO]])-ROW(PaymentSchedule3[[#Headers],[PMT NO]])-2)+DAY(LoanStartDate),"")</f>
        <v>51592</v>
      </c>
      <c r="D264" s="7">
        <f>IF(PaymentSchedule3[[#This Row],[PMT NO]]&lt;&gt;"",IF(ROW()-ROW(PaymentSchedule3[[#Headers],[BEGINNING BALANCE]])=1,LoanAmount,INDEX([ENDING BALANCE],ROW()-ROW(PaymentSchedule3[[#Headers],[BEGINNING BALANCE]])-1)),"")</f>
        <v>141454.05085925161</v>
      </c>
      <c r="E264" s="7">
        <f>IF(PaymentSchedule3[[#This Row],[PMT NO]]&lt;&gt;"",ScheduledPayment,"")</f>
        <v>1491.0635231826082</v>
      </c>
      <c r="F26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4" s="7">
        <f>IF(PaymentSchedule3[[#This Row],[PMT NO]]&lt;&gt;"",PaymentSchedule3[[#This Row],[TOTAL PAYMENT]]-PaymentSchedule3[[#This Row],[INTEREST]],"")</f>
        <v>1043.1256954616447</v>
      </c>
      <c r="I264" s="7">
        <f>IF(PaymentSchedule3[[#This Row],[PMT NO]]&lt;&gt;"",PaymentSchedule3[[#This Row],[BEGINNING BALANCE]]*(InterestRate/PaymentsPerYear),"")</f>
        <v>447.93782772096341</v>
      </c>
      <c r="J264" s="7">
        <f>IF(PaymentSchedule3[[#This Row],[PMT NO]]&lt;&gt;"",IF(PaymentSchedule3[[#This Row],[SCHEDULED PAYMENT]]+PaymentSchedule3[[#This Row],[EXTRA PAYMENT]]&lt;=PaymentSchedule3[[#This Row],[BEGINNING BALANCE]],PaymentSchedule3[[#This Row],[BEGINNING BALANCE]]-PaymentSchedule3[[#This Row],[PRINCIPAL]],0),"")</f>
        <v>140410.92516378997</v>
      </c>
      <c r="K264" s="7">
        <f>IF(PaymentSchedule3[[#This Row],[PMT NO]]&lt;&gt;"",SUM(INDEX([INTEREST],1,1):PaymentSchedule3[[#This Row],[INTEREST]]),"")</f>
        <v>190194.67891307687</v>
      </c>
    </row>
    <row r="265" spans="2:11">
      <c r="B265" s="4">
        <f>IF(LoanIsGood,IF(ROW()-ROW(PaymentSchedule3[[#Headers],[PMT NO]])&gt;ScheduledNumberOfPayments,"",ROW()-ROW(PaymentSchedule3[[#Headers],[PMT NO]])),"")</f>
        <v>249</v>
      </c>
      <c r="C265" s="5">
        <f>IF(PaymentSchedule3[[#This Row],[PMT NO]]&lt;&gt;"",EOMONTH(LoanStartDate,ROW(PaymentSchedule3[[#This Row],[PMT NO]])-ROW(PaymentSchedule3[[#Headers],[PMT NO]])-2)+DAY(LoanStartDate),"")</f>
        <v>51622</v>
      </c>
      <c r="D265" s="7">
        <f>IF(PaymentSchedule3[[#This Row],[PMT NO]]&lt;&gt;"",IF(ROW()-ROW(PaymentSchedule3[[#Headers],[BEGINNING BALANCE]])=1,LoanAmount,INDEX([ENDING BALANCE],ROW()-ROW(PaymentSchedule3[[#Headers],[BEGINNING BALANCE]])-1)),"")</f>
        <v>140410.92516378997</v>
      </c>
      <c r="E265" s="7">
        <f>IF(PaymentSchedule3[[#This Row],[PMT NO]]&lt;&gt;"",ScheduledPayment,"")</f>
        <v>1491.0635231826082</v>
      </c>
      <c r="F26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5" s="7">
        <f>IF(PaymentSchedule3[[#This Row],[PMT NO]]&lt;&gt;"",PaymentSchedule3[[#This Row],[TOTAL PAYMENT]]-PaymentSchedule3[[#This Row],[INTEREST]],"")</f>
        <v>1046.4289268306065</v>
      </c>
      <c r="I265" s="7">
        <f>IF(PaymentSchedule3[[#This Row],[PMT NO]]&lt;&gt;"",PaymentSchedule3[[#This Row],[BEGINNING BALANCE]]*(InterestRate/PaymentsPerYear),"")</f>
        <v>444.63459635200155</v>
      </c>
      <c r="J265" s="7">
        <f>IF(PaymentSchedule3[[#This Row],[PMT NO]]&lt;&gt;"",IF(PaymentSchedule3[[#This Row],[SCHEDULED PAYMENT]]+PaymentSchedule3[[#This Row],[EXTRA PAYMENT]]&lt;=PaymentSchedule3[[#This Row],[BEGINNING BALANCE]],PaymentSchedule3[[#This Row],[BEGINNING BALANCE]]-PaymentSchedule3[[#This Row],[PRINCIPAL]],0),"")</f>
        <v>139364.49623695936</v>
      </c>
      <c r="K265" s="7">
        <f>IF(PaymentSchedule3[[#This Row],[PMT NO]]&lt;&gt;"",SUM(INDEX([INTEREST],1,1):PaymentSchedule3[[#This Row],[INTEREST]]),"")</f>
        <v>190639.31350942887</v>
      </c>
    </row>
    <row r="266" spans="2:11">
      <c r="B266" s="4">
        <f>IF(LoanIsGood,IF(ROW()-ROW(PaymentSchedule3[[#Headers],[PMT NO]])&gt;ScheduledNumberOfPayments,"",ROW()-ROW(PaymentSchedule3[[#Headers],[PMT NO]])),"")</f>
        <v>250</v>
      </c>
      <c r="C266" s="5">
        <f>IF(PaymentSchedule3[[#This Row],[PMT NO]]&lt;&gt;"",EOMONTH(LoanStartDate,ROW(PaymentSchedule3[[#This Row],[PMT NO]])-ROW(PaymentSchedule3[[#Headers],[PMT NO]])-2)+DAY(LoanStartDate),"")</f>
        <v>51653</v>
      </c>
      <c r="D266" s="7">
        <f>IF(PaymentSchedule3[[#This Row],[PMT NO]]&lt;&gt;"",IF(ROW()-ROW(PaymentSchedule3[[#Headers],[BEGINNING BALANCE]])=1,LoanAmount,INDEX([ENDING BALANCE],ROW()-ROW(PaymentSchedule3[[#Headers],[BEGINNING BALANCE]])-1)),"")</f>
        <v>139364.49623695936</v>
      </c>
      <c r="E266" s="7">
        <f>IF(PaymentSchedule3[[#This Row],[PMT NO]]&lt;&gt;"",ScheduledPayment,"")</f>
        <v>1491.0635231826082</v>
      </c>
      <c r="F26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6" s="7">
        <f>IF(PaymentSchedule3[[#This Row],[PMT NO]]&lt;&gt;"",PaymentSchedule3[[#This Row],[TOTAL PAYMENT]]-PaymentSchedule3[[#This Row],[INTEREST]],"")</f>
        <v>1049.7426184322369</v>
      </c>
      <c r="I266" s="7">
        <f>IF(PaymentSchedule3[[#This Row],[PMT NO]]&lt;&gt;"",PaymentSchedule3[[#This Row],[BEGINNING BALANCE]]*(InterestRate/PaymentsPerYear),"")</f>
        <v>441.32090475037126</v>
      </c>
      <c r="J266" s="7">
        <f>IF(PaymentSchedule3[[#This Row],[PMT NO]]&lt;&gt;"",IF(PaymentSchedule3[[#This Row],[SCHEDULED PAYMENT]]+PaymentSchedule3[[#This Row],[EXTRA PAYMENT]]&lt;=PaymentSchedule3[[#This Row],[BEGINNING BALANCE]],PaymentSchedule3[[#This Row],[BEGINNING BALANCE]]-PaymentSchedule3[[#This Row],[PRINCIPAL]],0),"")</f>
        <v>138314.75361852712</v>
      </c>
      <c r="K266" s="7">
        <f>IF(PaymentSchedule3[[#This Row],[PMT NO]]&lt;&gt;"",SUM(INDEX([INTEREST],1,1):PaymentSchedule3[[#This Row],[INTEREST]]),"")</f>
        <v>191080.63441417925</v>
      </c>
    </row>
    <row r="267" spans="2:11">
      <c r="B267" s="4">
        <f>IF(LoanIsGood,IF(ROW()-ROW(PaymentSchedule3[[#Headers],[PMT NO]])&gt;ScheduledNumberOfPayments,"",ROW()-ROW(PaymentSchedule3[[#Headers],[PMT NO]])),"")</f>
        <v>251</v>
      </c>
      <c r="C267" s="5">
        <f>IF(PaymentSchedule3[[#This Row],[PMT NO]]&lt;&gt;"",EOMONTH(LoanStartDate,ROW(PaymentSchedule3[[#This Row],[PMT NO]])-ROW(PaymentSchedule3[[#Headers],[PMT NO]])-2)+DAY(LoanStartDate),"")</f>
        <v>51683</v>
      </c>
      <c r="D267" s="7">
        <f>IF(PaymentSchedule3[[#This Row],[PMT NO]]&lt;&gt;"",IF(ROW()-ROW(PaymentSchedule3[[#Headers],[BEGINNING BALANCE]])=1,LoanAmount,INDEX([ENDING BALANCE],ROW()-ROW(PaymentSchedule3[[#Headers],[BEGINNING BALANCE]])-1)),"")</f>
        <v>138314.75361852712</v>
      </c>
      <c r="E267" s="7">
        <f>IF(PaymentSchedule3[[#This Row],[PMT NO]]&lt;&gt;"",ScheduledPayment,"")</f>
        <v>1491.0635231826082</v>
      </c>
      <c r="F26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7" s="7">
        <f>IF(PaymentSchedule3[[#This Row],[PMT NO]]&lt;&gt;"",PaymentSchedule3[[#This Row],[TOTAL PAYMENT]]-PaymentSchedule3[[#This Row],[INTEREST]],"")</f>
        <v>1053.0668033906056</v>
      </c>
      <c r="I267" s="7">
        <f>IF(PaymentSchedule3[[#This Row],[PMT NO]]&lt;&gt;"",PaymentSchedule3[[#This Row],[BEGINNING BALANCE]]*(InterestRate/PaymentsPerYear),"")</f>
        <v>437.99671979200252</v>
      </c>
      <c r="J267" s="7">
        <f>IF(PaymentSchedule3[[#This Row],[PMT NO]]&lt;&gt;"",IF(PaymentSchedule3[[#This Row],[SCHEDULED PAYMENT]]+PaymentSchedule3[[#This Row],[EXTRA PAYMENT]]&lt;=PaymentSchedule3[[#This Row],[BEGINNING BALANCE]],PaymentSchedule3[[#This Row],[BEGINNING BALANCE]]-PaymentSchedule3[[#This Row],[PRINCIPAL]],0),"")</f>
        <v>137261.68681513652</v>
      </c>
      <c r="K267" s="7">
        <f>IF(PaymentSchedule3[[#This Row],[PMT NO]]&lt;&gt;"",SUM(INDEX([INTEREST],1,1):PaymentSchedule3[[#This Row],[INTEREST]]),"")</f>
        <v>191518.63113397124</v>
      </c>
    </row>
    <row r="268" spans="2:11">
      <c r="B268" s="4">
        <f>IF(LoanIsGood,IF(ROW()-ROW(PaymentSchedule3[[#Headers],[PMT NO]])&gt;ScheduledNumberOfPayments,"",ROW()-ROW(PaymentSchedule3[[#Headers],[PMT NO]])),"")</f>
        <v>252</v>
      </c>
      <c r="C268" s="5">
        <f>IF(PaymentSchedule3[[#This Row],[PMT NO]]&lt;&gt;"",EOMONTH(LoanStartDate,ROW(PaymentSchedule3[[#This Row],[PMT NO]])-ROW(PaymentSchedule3[[#Headers],[PMT NO]])-2)+DAY(LoanStartDate),"")</f>
        <v>51714</v>
      </c>
      <c r="D268" s="7">
        <f>IF(PaymentSchedule3[[#This Row],[PMT NO]]&lt;&gt;"",IF(ROW()-ROW(PaymentSchedule3[[#Headers],[BEGINNING BALANCE]])=1,LoanAmount,INDEX([ENDING BALANCE],ROW()-ROW(PaymentSchedule3[[#Headers],[BEGINNING BALANCE]])-1)),"")</f>
        <v>137261.68681513652</v>
      </c>
      <c r="E268" s="7">
        <f>IF(PaymentSchedule3[[#This Row],[PMT NO]]&lt;&gt;"",ScheduledPayment,"")</f>
        <v>1491.0635231826082</v>
      </c>
      <c r="F26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8" s="7">
        <f>IF(PaymentSchedule3[[#This Row],[PMT NO]]&lt;&gt;"",PaymentSchedule3[[#This Row],[TOTAL PAYMENT]]-PaymentSchedule3[[#This Row],[INTEREST]],"")</f>
        <v>1056.4015149346758</v>
      </c>
      <c r="I268" s="7">
        <f>IF(PaymentSchedule3[[#This Row],[PMT NO]]&lt;&gt;"",PaymentSchedule3[[#This Row],[BEGINNING BALANCE]]*(InterestRate/PaymentsPerYear),"")</f>
        <v>434.66200824793231</v>
      </c>
      <c r="J268" s="7">
        <f>IF(PaymentSchedule3[[#This Row],[PMT NO]]&lt;&gt;"",IF(PaymentSchedule3[[#This Row],[SCHEDULED PAYMENT]]+PaymentSchedule3[[#This Row],[EXTRA PAYMENT]]&lt;=PaymentSchedule3[[#This Row],[BEGINNING BALANCE]],PaymentSchedule3[[#This Row],[BEGINNING BALANCE]]-PaymentSchedule3[[#This Row],[PRINCIPAL]],0),"")</f>
        <v>136205.28530020185</v>
      </c>
      <c r="K268" s="7">
        <f>IF(PaymentSchedule3[[#This Row],[PMT NO]]&lt;&gt;"",SUM(INDEX([INTEREST],1,1):PaymentSchedule3[[#This Row],[INTEREST]]),"")</f>
        <v>191953.29314221916</v>
      </c>
    </row>
    <row r="269" spans="2:11">
      <c r="B269" s="4">
        <f>IF(LoanIsGood,IF(ROW()-ROW(PaymentSchedule3[[#Headers],[PMT NO]])&gt;ScheduledNumberOfPayments,"",ROW()-ROW(PaymentSchedule3[[#Headers],[PMT NO]])),"")</f>
        <v>253</v>
      </c>
      <c r="C269" s="5">
        <f>IF(PaymentSchedule3[[#This Row],[PMT NO]]&lt;&gt;"",EOMONTH(LoanStartDate,ROW(PaymentSchedule3[[#This Row],[PMT NO]])-ROW(PaymentSchedule3[[#Headers],[PMT NO]])-2)+DAY(LoanStartDate),"")</f>
        <v>51745</v>
      </c>
      <c r="D269" s="7">
        <f>IF(PaymentSchedule3[[#This Row],[PMT NO]]&lt;&gt;"",IF(ROW()-ROW(PaymentSchedule3[[#Headers],[BEGINNING BALANCE]])=1,LoanAmount,INDEX([ENDING BALANCE],ROW()-ROW(PaymentSchedule3[[#Headers],[BEGINNING BALANCE]])-1)),"")</f>
        <v>136205.28530020185</v>
      </c>
      <c r="E269" s="7">
        <f>IF(PaymentSchedule3[[#This Row],[PMT NO]]&lt;&gt;"",ScheduledPayment,"")</f>
        <v>1491.0635231826082</v>
      </c>
      <c r="F26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69" s="7">
        <f>IF(PaymentSchedule3[[#This Row],[PMT NO]]&lt;&gt;"",PaymentSchedule3[[#This Row],[TOTAL PAYMENT]]-PaymentSchedule3[[#This Row],[INTEREST]],"")</f>
        <v>1059.7467863986355</v>
      </c>
      <c r="I269" s="7">
        <f>IF(PaymentSchedule3[[#This Row],[PMT NO]]&lt;&gt;"",PaymentSchedule3[[#This Row],[BEGINNING BALANCE]]*(InterestRate/PaymentsPerYear),"")</f>
        <v>431.31673678397254</v>
      </c>
      <c r="J269" s="7">
        <f>IF(PaymentSchedule3[[#This Row],[PMT NO]]&lt;&gt;"",IF(PaymentSchedule3[[#This Row],[SCHEDULED PAYMENT]]+PaymentSchedule3[[#This Row],[EXTRA PAYMENT]]&lt;=PaymentSchedule3[[#This Row],[BEGINNING BALANCE]],PaymentSchedule3[[#This Row],[BEGINNING BALANCE]]-PaymentSchedule3[[#This Row],[PRINCIPAL]],0),"")</f>
        <v>135145.53851380321</v>
      </c>
      <c r="K269" s="7">
        <f>IF(PaymentSchedule3[[#This Row],[PMT NO]]&lt;&gt;"",SUM(INDEX([INTEREST],1,1):PaymentSchedule3[[#This Row],[INTEREST]]),"")</f>
        <v>192384.60987900314</v>
      </c>
    </row>
    <row r="270" spans="2:11">
      <c r="B270" s="4">
        <f>IF(LoanIsGood,IF(ROW()-ROW(PaymentSchedule3[[#Headers],[PMT NO]])&gt;ScheduledNumberOfPayments,"",ROW()-ROW(PaymentSchedule3[[#Headers],[PMT NO]])),"")</f>
        <v>254</v>
      </c>
      <c r="C270" s="5">
        <f>IF(PaymentSchedule3[[#This Row],[PMT NO]]&lt;&gt;"",EOMONTH(LoanStartDate,ROW(PaymentSchedule3[[#This Row],[PMT NO]])-ROW(PaymentSchedule3[[#Headers],[PMT NO]])-2)+DAY(LoanStartDate),"")</f>
        <v>51775</v>
      </c>
      <c r="D270" s="7">
        <f>IF(PaymentSchedule3[[#This Row],[PMT NO]]&lt;&gt;"",IF(ROW()-ROW(PaymentSchedule3[[#Headers],[BEGINNING BALANCE]])=1,LoanAmount,INDEX([ENDING BALANCE],ROW()-ROW(PaymentSchedule3[[#Headers],[BEGINNING BALANCE]])-1)),"")</f>
        <v>135145.53851380321</v>
      </c>
      <c r="E270" s="7">
        <f>IF(PaymentSchedule3[[#This Row],[PMT NO]]&lt;&gt;"",ScheduledPayment,"")</f>
        <v>1491.0635231826082</v>
      </c>
      <c r="F27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0" s="7">
        <f>IF(PaymentSchedule3[[#This Row],[PMT NO]]&lt;&gt;"",PaymentSchedule3[[#This Row],[TOTAL PAYMENT]]-PaymentSchedule3[[#This Row],[INTEREST]],"")</f>
        <v>1063.1026512222313</v>
      </c>
      <c r="I270" s="7">
        <f>IF(PaymentSchedule3[[#This Row],[PMT NO]]&lt;&gt;"",PaymentSchedule3[[#This Row],[BEGINNING BALANCE]]*(InterestRate/PaymentsPerYear),"")</f>
        <v>427.96087196037683</v>
      </c>
      <c r="J270" s="7">
        <f>IF(PaymentSchedule3[[#This Row],[PMT NO]]&lt;&gt;"",IF(PaymentSchedule3[[#This Row],[SCHEDULED PAYMENT]]+PaymentSchedule3[[#This Row],[EXTRA PAYMENT]]&lt;=PaymentSchedule3[[#This Row],[BEGINNING BALANCE]],PaymentSchedule3[[#This Row],[BEGINNING BALANCE]]-PaymentSchedule3[[#This Row],[PRINCIPAL]],0),"")</f>
        <v>134082.43586258098</v>
      </c>
      <c r="K270" s="7">
        <f>IF(PaymentSchedule3[[#This Row],[PMT NO]]&lt;&gt;"",SUM(INDEX([INTEREST],1,1):PaymentSchedule3[[#This Row],[INTEREST]]),"")</f>
        <v>192812.57075096352</v>
      </c>
    </row>
    <row r="271" spans="2:11">
      <c r="B271" s="4">
        <f>IF(LoanIsGood,IF(ROW()-ROW(PaymentSchedule3[[#Headers],[PMT NO]])&gt;ScheduledNumberOfPayments,"",ROW()-ROW(PaymentSchedule3[[#Headers],[PMT NO]])),"")</f>
        <v>255</v>
      </c>
      <c r="C271" s="5">
        <f>IF(PaymentSchedule3[[#This Row],[PMT NO]]&lt;&gt;"",EOMONTH(LoanStartDate,ROW(PaymentSchedule3[[#This Row],[PMT NO]])-ROW(PaymentSchedule3[[#Headers],[PMT NO]])-2)+DAY(LoanStartDate),"")</f>
        <v>51806</v>
      </c>
      <c r="D271" s="7">
        <f>IF(PaymentSchedule3[[#This Row],[PMT NO]]&lt;&gt;"",IF(ROW()-ROW(PaymentSchedule3[[#Headers],[BEGINNING BALANCE]])=1,LoanAmount,INDEX([ENDING BALANCE],ROW()-ROW(PaymentSchedule3[[#Headers],[BEGINNING BALANCE]])-1)),"")</f>
        <v>134082.43586258098</v>
      </c>
      <c r="E271" s="7">
        <f>IF(PaymentSchedule3[[#This Row],[PMT NO]]&lt;&gt;"",ScheduledPayment,"")</f>
        <v>1491.0635231826082</v>
      </c>
      <c r="F27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1" s="7">
        <f>IF(PaymentSchedule3[[#This Row],[PMT NO]]&lt;&gt;"",PaymentSchedule3[[#This Row],[TOTAL PAYMENT]]-PaymentSchedule3[[#This Row],[INTEREST]],"")</f>
        <v>1066.4691429511017</v>
      </c>
      <c r="I271" s="7">
        <f>IF(PaymentSchedule3[[#This Row],[PMT NO]]&lt;&gt;"",PaymentSchedule3[[#This Row],[BEGINNING BALANCE]]*(InterestRate/PaymentsPerYear),"")</f>
        <v>424.59438023150642</v>
      </c>
      <c r="J271" s="7">
        <f>IF(PaymentSchedule3[[#This Row],[PMT NO]]&lt;&gt;"",IF(PaymentSchedule3[[#This Row],[SCHEDULED PAYMENT]]+PaymentSchedule3[[#This Row],[EXTRA PAYMENT]]&lt;=PaymentSchedule3[[#This Row],[BEGINNING BALANCE]],PaymentSchedule3[[#This Row],[BEGINNING BALANCE]]-PaymentSchedule3[[#This Row],[PRINCIPAL]],0),"")</f>
        <v>133015.96671962988</v>
      </c>
      <c r="K271" s="7">
        <f>IF(PaymentSchedule3[[#This Row],[PMT NO]]&lt;&gt;"",SUM(INDEX([INTEREST],1,1):PaymentSchedule3[[#This Row],[INTEREST]]),"")</f>
        <v>193237.16513119504</v>
      </c>
    </row>
    <row r="272" spans="2:11">
      <c r="B272" s="4">
        <f>IF(LoanIsGood,IF(ROW()-ROW(PaymentSchedule3[[#Headers],[PMT NO]])&gt;ScheduledNumberOfPayments,"",ROW()-ROW(PaymentSchedule3[[#Headers],[PMT NO]])),"")</f>
        <v>256</v>
      </c>
      <c r="C272" s="5">
        <f>IF(PaymentSchedule3[[#This Row],[PMT NO]]&lt;&gt;"",EOMONTH(LoanStartDate,ROW(PaymentSchedule3[[#This Row],[PMT NO]])-ROW(PaymentSchedule3[[#Headers],[PMT NO]])-2)+DAY(LoanStartDate),"")</f>
        <v>51836</v>
      </c>
      <c r="D272" s="7">
        <f>IF(PaymentSchedule3[[#This Row],[PMT NO]]&lt;&gt;"",IF(ROW()-ROW(PaymentSchedule3[[#Headers],[BEGINNING BALANCE]])=1,LoanAmount,INDEX([ENDING BALANCE],ROW()-ROW(PaymentSchedule3[[#Headers],[BEGINNING BALANCE]])-1)),"")</f>
        <v>133015.96671962988</v>
      </c>
      <c r="E272" s="7">
        <f>IF(PaymentSchedule3[[#This Row],[PMT NO]]&lt;&gt;"",ScheduledPayment,"")</f>
        <v>1491.0635231826082</v>
      </c>
      <c r="F27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2" s="7">
        <f>IF(PaymentSchedule3[[#This Row],[PMT NO]]&lt;&gt;"",PaymentSchedule3[[#This Row],[TOTAL PAYMENT]]-PaymentSchedule3[[#This Row],[INTEREST]],"")</f>
        <v>1069.8462952371135</v>
      </c>
      <c r="I272" s="7">
        <f>IF(PaymentSchedule3[[#This Row],[PMT NO]]&lt;&gt;"",PaymentSchedule3[[#This Row],[BEGINNING BALANCE]]*(InterestRate/PaymentsPerYear),"")</f>
        <v>421.21722794549464</v>
      </c>
      <c r="J272" s="7">
        <f>IF(PaymentSchedule3[[#This Row],[PMT NO]]&lt;&gt;"",IF(PaymentSchedule3[[#This Row],[SCHEDULED PAYMENT]]+PaymentSchedule3[[#This Row],[EXTRA PAYMENT]]&lt;=PaymentSchedule3[[#This Row],[BEGINNING BALANCE]],PaymentSchedule3[[#This Row],[BEGINNING BALANCE]]-PaymentSchedule3[[#This Row],[PRINCIPAL]],0),"")</f>
        <v>131946.12042439278</v>
      </c>
      <c r="K272" s="7">
        <f>IF(PaymentSchedule3[[#This Row],[PMT NO]]&lt;&gt;"",SUM(INDEX([INTEREST],1,1):PaymentSchedule3[[#This Row],[INTEREST]]),"")</f>
        <v>193658.38235914052</v>
      </c>
    </row>
    <row r="273" spans="2:11">
      <c r="B273" s="4">
        <f>IF(LoanIsGood,IF(ROW()-ROW(PaymentSchedule3[[#Headers],[PMT NO]])&gt;ScheduledNumberOfPayments,"",ROW()-ROW(PaymentSchedule3[[#Headers],[PMT NO]])),"")</f>
        <v>257</v>
      </c>
      <c r="C273" s="5">
        <f>IF(PaymentSchedule3[[#This Row],[PMT NO]]&lt;&gt;"",EOMONTH(LoanStartDate,ROW(PaymentSchedule3[[#This Row],[PMT NO]])-ROW(PaymentSchedule3[[#Headers],[PMT NO]])-2)+DAY(LoanStartDate),"")</f>
        <v>51867</v>
      </c>
      <c r="D273" s="7">
        <f>IF(PaymentSchedule3[[#This Row],[PMT NO]]&lt;&gt;"",IF(ROW()-ROW(PaymentSchedule3[[#Headers],[BEGINNING BALANCE]])=1,LoanAmount,INDEX([ENDING BALANCE],ROW()-ROW(PaymentSchedule3[[#Headers],[BEGINNING BALANCE]])-1)),"")</f>
        <v>131946.12042439278</v>
      </c>
      <c r="E273" s="7">
        <f>IF(PaymentSchedule3[[#This Row],[PMT NO]]&lt;&gt;"",ScheduledPayment,"")</f>
        <v>1491.0635231826082</v>
      </c>
      <c r="F27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3" s="7">
        <f>IF(PaymentSchedule3[[#This Row],[PMT NO]]&lt;&gt;"",PaymentSchedule3[[#This Row],[TOTAL PAYMENT]]-PaymentSchedule3[[#This Row],[INTEREST]],"")</f>
        <v>1073.2341418386977</v>
      </c>
      <c r="I273" s="7">
        <f>IF(PaymentSchedule3[[#This Row],[PMT NO]]&lt;&gt;"",PaymentSchedule3[[#This Row],[BEGINNING BALANCE]]*(InterestRate/PaymentsPerYear),"")</f>
        <v>417.82938134391043</v>
      </c>
      <c r="J273" s="7">
        <f>IF(PaymentSchedule3[[#This Row],[PMT NO]]&lt;&gt;"",IF(PaymentSchedule3[[#This Row],[SCHEDULED PAYMENT]]+PaymentSchedule3[[#This Row],[EXTRA PAYMENT]]&lt;=PaymentSchedule3[[#This Row],[BEGINNING BALANCE]],PaymentSchedule3[[#This Row],[BEGINNING BALANCE]]-PaymentSchedule3[[#This Row],[PRINCIPAL]],0),"")</f>
        <v>130872.88628255409</v>
      </c>
      <c r="K273" s="7">
        <f>IF(PaymentSchedule3[[#This Row],[PMT NO]]&lt;&gt;"",SUM(INDEX([INTEREST],1,1):PaymentSchedule3[[#This Row],[INTEREST]]),"")</f>
        <v>194076.21174048443</v>
      </c>
    </row>
    <row r="274" spans="2:11">
      <c r="B274" s="4">
        <f>IF(LoanIsGood,IF(ROW()-ROW(PaymentSchedule3[[#Headers],[PMT NO]])&gt;ScheduledNumberOfPayments,"",ROW()-ROW(PaymentSchedule3[[#Headers],[PMT NO]])),"")</f>
        <v>258</v>
      </c>
      <c r="C274" s="5">
        <f>IF(PaymentSchedule3[[#This Row],[PMT NO]]&lt;&gt;"",EOMONTH(LoanStartDate,ROW(PaymentSchedule3[[#This Row],[PMT NO]])-ROW(PaymentSchedule3[[#Headers],[PMT NO]])-2)+DAY(LoanStartDate),"")</f>
        <v>51898</v>
      </c>
      <c r="D274" s="7">
        <f>IF(PaymentSchedule3[[#This Row],[PMT NO]]&lt;&gt;"",IF(ROW()-ROW(PaymentSchedule3[[#Headers],[BEGINNING BALANCE]])=1,LoanAmount,INDEX([ENDING BALANCE],ROW()-ROW(PaymentSchedule3[[#Headers],[BEGINNING BALANCE]])-1)),"")</f>
        <v>130872.88628255409</v>
      </c>
      <c r="E274" s="7">
        <f>IF(PaymentSchedule3[[#This Row],[PMT NO]]&lt;&gt;"",ScheduledPayment,"")</f>
        <v>1491.0635231826082</v>
      </c>
      <c r="F27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4" s="7">
        <f>IF(PaymentSchedule3[[#This Row],[PMT NO]]&lt;&gt;"",PaymentSchedule3[[#This Row],[TOTAL PAYMENT]]-PaymentSchedule3[[#This Row],[INTEREST]],"")</f>
        <v>1076.6327166211868</v>
      </c>
      <c r="I274" s="7">
        <f>IF(PaymentSchedule3[[#This Row],[PMT NO]]&lt;&gt;"",PaymentSchedule3[[#This Row],[BEGINNING BALANCE]]*(InterestRate/PaymentsPerYear),"")</f>
        <v>414.43080656142126</v>
      </c>
      <c r="J274" s="7">
        <f>IF(PaymentSchedule3[[#This Row],[PMT NO]]&lt;&gt;"",IF(PaymentSchedule3[[#This Row],[SCHEDULED PAYMENT]]+PaymentSchedule3[[#This Row],[EXTRA PAYMENT]]&lt;=PaymentSchedule3[[#This Row],[BEGINNING BALANCE]],PaymentSchedule3[[#This Row],[BEGINNING BALANCE]]-PaymentSchedule3[[#This Row],[PRINCIPAL]],0),"")</f>
        <v>129796.2535659329</v>
      </c>
      <c r="K274" s="7">
        <f>IF(PaymentSchedule3[[#This Row],[PMT NO]]&lt;&gt;"",SUM(INDEX([INTEREST],1,1):PaymentSchedule3[[#This Row],[INTEREST]]),"")</f>
        <v>194490.64254704586</v>
      </c>
    </row>
    <row r="275" spans="2:11">
      <c r="B275" s="4">
        <f>IF(LoanIsGood,IF(ROW()-ROW(PaymentSchedule3[[#Headers],[PMT NO]])&gt;ScheduledNumberOfPayments,"",ROW()-ROW(PaymentSchedule3[[#Headers],[PMT NO]])),"")</f>
        <v>259</v>
      </c>
      <c r="C275" s="5">
        <f>IF(PaymentSchedule3[[#This Row],[PMT NO]]&lt;&gt;"",EOMONTH(LoanStartDate,ROW(PaymentSchedule3[[#This Row],[PMT NO]])-ROW(PaymentSchedule3[[#Headers],[PMT NO]])-2)+DAY(LoanStartDate),"")</f>
        <v>51926</v>
      </c>
      <c r="D275" s="7">
        <f>IF(PaymentSchedule3[[#This Row],[PMT NO]]&lt;&gt;"",IF(ROW()-ROW(PaymentSchedule3[[#Headers],[BEGINNING BALANCE]])=1,LoanAmount,INDEX([ENDING BALANCE],ROW()-ROW(PaymentSchedule3[[#Headers],[BEGINNING BALANCE]])-1)),"")</f>
        <v>129796.2535659329</v>
      </c>
      <c r="E275" s="7">
        <f>IF(PaymentSchedule3[[#This Row],[PMT NO]]&lt;&gt;"",ScheduledPayment,"")</f>
        <v>1491.0635231826082</v>
      </c>
      <c r="F27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5" s="7">
        <f>IF(PaymentSchedule3[[#This Row],[PMT NO]]&lt;&gt;"",PaymentSchedule3[[#This Row],[TOTAL PAYMENT]]-PaymentSchedule3[[#This Row],[INTEREST]],"")</f>
        <v>1080.0420535571538</v>
      </c>
      <c r="I275" s="7">
        <f>IF(PaymentSchedule3[[#This Row],[PMT NO]]&lt;&gt;"",PaymentSchedule3[[#This Row],[BEGINNING BALANCE]]*(InterestRate/PaymentsPerYear),"")</f>
        <v>411.02146962545419</v>
      </c>
      <c r="J275" s="7">
        <f>IF(PaymentSchedule3[[#This Row],[PMT NO]]&lt;&gt;"",IF(PaymentSchedule3[[#This Row],[SCHEDULED PAYMENT]]+PaymentSchedule3[[#This Row],[EXTRA PAYMENT]]&lt;=PaymentSchedule3[[#This Row],[BEGINNING BALANCE]],PaymentSchedule3[[#This Row],[BEGINNING BALANCE]]-PaymentSchedule3[[#This Row],[PRINCIPAL]],0),"")</f>
        <v>128716.21151237574</v>
      </c>
      <c r="K275" s="7">
        <f>IF(PaymentSchedule3[[#This Row],[PMT NO]]&lt;&gt;"",SUM(INDEX([INTEREST],1,1):PaymentSchedule3[[#This Row],[INTEREST]]),"")</f>
        <v>194901.6640166713</v>
      </c>
    </row>
    <row r="276" spans="2:11">
      <c r="B276" s="4">
        <f>IF(LoanIsGood,IF(ROW()-ROW(PaymentSchedule3[[#Headers],[PMT NO]])&gt;ScheduledNumberOfPayments,"",ROW()-ROW(PaymentSchedule3[[#Headers],[PMT NO]])),"")</f>
        <v>260</v>
      </c>
      <c r="C276" s="5">
        <f>IF(PaymentSchedule3[[#This Row],[PMT NO]]&lt;&gt;"",EOMONTH(LoanStartDate,ROW(PaymentSchedule3[[#This Row],[PMT NO]])-ROW(PaymentSchedule3[[#Headers],[PMT NO]])-2)+DAY(LoanStartDate),"")</f>
        <v>51957</v>
      </c>
      <c r="D276" s="7">
        <f>IF(PaymentSchedule3[[#This Row],[PMT NO]]&lt;&gt;"",IF(ROW()-ROW(PaymentSchedule3[[#Headers],[BEGINNING BALANCE]])=1,LoanAmount,INDEX([ENDING BALANCE],ROW()-ROW(PaymentSchedule3[[#Headers],[BEGINNING BALANCE]])-1)),"")</f>
        <v>128716.21151237574</v>
      </c>
      <c r="E276" s="7">
        <f>IF(PaymentSchedule3[[#This Row],[PMT NO]]&lt;&gt;"",ScheduledPayment,"")</f>
        <v>1491.0635231826082</v>
      </c>
      <c r="F27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6" s="7">
        <f>IF(PaymentSchedule3[[#This Row],[PMT NO]]&lt;&gt;"",PaymentSchedule3[[#This Row],[TOTAL PAYMENT]]-PaymentSchedule3[[#This Row],[INTEREST]],"")</f>
        <v>1083.4621867267517</v>
      </c>
      <c r="I276" s="7">
        <f>IF(PaymentSchedule3[[#This Row],[PMT NO]]&lt;&gt;"",PaymentSchedule3[[#This Row],[BEGINNING BALANCE]]*(InterestRate/PaymentsPerYear),"")</f>
        <v>407.60133645585648</v>
      </c>
      <c r="J276" s="7">
        <f>IF(PaymentSchedule3[[#This Row],[PMT NO]]&lt;&gt;"",IF(PaymentSchedule3[[#This Row],[SCHEDULED PAYMENT]]+PaymentSchedule3[[#This Row],[EXTRA PAYMENT]]&lt;=PaymentSchedule3[[#This Row],[BEGINNING BALANCE]],PaymentSchedule3[[#This Row],[BEGINNING BALANCE]]-PaymentSchedule3[[#This Row],[PRINCIPAL]],0),"")</f>
        <v>127632.74932564898</v>
      </c>
      <c r="K276" s="7">
        <f>IF(PaymentSchedule3[[#This Row],[PMT NO]]&lt;&gt;"",SUM(INDEX([INTEREST],1,1):PaymentSchedule3[[#This Row],[INTEREST]]),"")</f>
        <v>195309.26535312715</v>
      </c>
    </row>
    <row r="277" spans="2:11">
      <c r="B277" s="4">
        <f>IF(LoanIsGood,IF(ROW()-ROW(PaymentSchedule3[[#Headers],[PMT NO]])&gt;ScheduledNumberOfPayments,"",ROW()-ROW(PaymentSchedule3[[#Headers],[PMT NO]])),"")</f>
        <v>261</v>
      </c>
      <c r="C277" s="5">
        <f>IF(PaymentSchedule3[[#This Row],[PMT NO]]&lt;&gt;"",EOMONTH(LoanStartDate,ROW(PaymentSchedule3[[#This Row],[PMT NO]])-ROW(PaymentSchedule3[[#Headers],[PMT NO]])-2)+DAY(LoanStartDate),"")</f>
        <v>51987</v>
      </c>
      <c r="D277" s="7">
        <f>IF(PaymentSchedule3[[#This Row],[PMT NO]]&lt;&gt;"",IF(ROW()-ROW(PaymentSchedule3[[#Headers],[BEGINNING BALANCE]])=1,LoanAmount,INDEX([ENDING BALANCE],ROW()-ROW(PaymentSchedule3[[#Headers],[BEGINNING BALANCE]])-1)),"")</f>
        <v>127632.74932564898</v>
      </c>
      <c r="E277" s="7">
        <f>IF(PaymentSchedule3[[#This Row],[PMT NO]]&lt;&gt;"",ScheduledPayment,"")</f>
        <v>1491.0635231826082</v>
      </c>
      <c r="F27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7" s="7">
        <f>IF(PaymentSchedule3[[#This Row],[PMT NO]]&lt;&gt;"",PaymentSchedule3[[#This Row],[TOTAL PAYMENT]]-PaymentSchedule3[[#This Row],[INTEREST]],"")</f>
        <v>1086.8931503180531</v>
      </c>
      <c r="I277" s="7">
        <f>IF(PaymentSchedule3[[#This Row],[PMT NO]]&lt;&gt;"",PaymentSchedule3[[#This Row],[BEGINNING BALANCE]]*(InterestRate/PaymentsPerYear),"")</f>
        <v>404.17037286455508</v>
      </c>
      <c r="J277" s="7">
        <f>IF(PaymentSchedule3[[#This Row],[PMT NO]]&lt;&gt;"",IF(PaymentSchedule3[[#This Row],[SCHEDULED PAYMENT]]+PaymentSchedule3[[#This Row],[EXTRA PAYMENT]]&lt;=PaymentSchedule3[[#This Row],[BEGINNING BALANCE]],PaymentSchedule3[[#This Row],[BEGINNING BALANCE]]-PaymentSchedule3[[#This Row],[PRINCIPAL]],0),"")</f>
        <v>126545.85617533093</v>
      </c>
      <c r="K277" s="7">
        <f>IF(PaymentSchedule3[[#This Row],[PMT NO]]&lt;&gt;"",SUM(INDEX([INTEREST],1,1):PaymentSchedule3[[#This Row],[INTEREST]]),"")</f>
        <v>195713.4357259917</v>
      </c>
    </row>
    <row r="278" spans="2:11">
      <c r="B278" s="4">
        <f>IF(LoanIsGood,IF(ROW()-ROW(PaymentSchedule3[[#Headers],[PMT NO]])&gt;ScheduledNumberOfPayments,"",ROW()-ROW(PaymentSchedule3[[#Headers],[PMT NO]])),"")</f>
        <v>262</v>
      </c>
      <c r="C278" s="5">
        <f>IF(PaymentSchedule3[[#This Row],[PMT NO]]&lt;&gt;"",EOMONTH(LoanStartDate,ROW(PaymentSchedule3[[#This Row],[PMT NO]])-ROW(PaymentSchedule3[[#Headers],[PMT NO]])-2)+DAY(LoanStartDate),"")</f>
        <v>52018</v>
      </c>
      <c r="D278" s="7">
        <f>IF(PaymentSchedule3[[#This Row],[PMT NO]]&lt;&gt;"",IF(ROW()-ROW(PaymentSchedule3[[#Headers],[BEGINNING BALANCE]])=1,LoanAmount,INDEX([ENDING BALANCE],ROW()-ROW(PaymentSchedule3[[#Headers],[BEGINNING BALANCE]])-1)),"")</f>
        <v>126545.85617533093</v>
      </c>
      <c r="E278" s="7">
        <f>IF(PaymentSchedule3[[#This Row],[PMT NO]]&lt;&gt;"",ScheduledPayment,"")</f>
        <v>1491.0635231826082</v>
      </c>
      <c r="F27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8" s="7">
        <f>IF(PaymentSchedule3[[#This Row],[PMT NO]]&lt;&gt;"",PaymentSchedule3[[#This Row],[TOTAL PAYMENT]]-PaymentSchedule3[[#This Row],[INTEREST]],"")</f>
        <v>1090.3349786273934</v>
      </c>
      <c r="I278" s="7">
        <f>IF(PaymentSchedule3[[#This Row],[PMT NO]]&lt;&gt;"",PaymentSchedule3[[#This Row],[BEGINNING BALANCE]]*(InterestRate/PaymentsPerYear),"")</f>
        <v>400.72854455521463</v>
      </c>
      <c r="J278" s="7">
        <f>IF(PaymentSchedule3[[#This Row],[PMT NO]]&lt;&gt;"",IF(PaymentSchedule3[[#This Row],[SCHEDULED PAYMENT]]+PaymentSchedule3[[#This Row],[EXTRA PAYMENT]]&lt;=PaymentSchedule3[[#This Row],[BEGINNING BALANCE]],PaymentSchedule3[[#This Row],[BEGINNING BALANCE]]-PaymentSchedule3[[#This Row],[PRINCIPAL]],0),"")</f>
        <v>125455.52119670354</v>
      </c>
      <c r="K278" s="7">
        <f>IF(PaymentSchedule3[[#This Row],[PMT NO]]&lt;&gt;"",SUM(INDEX([INTEREST],1,1):PaymentSchedule3[[#This Row],[INTEREST]]),"")</f>
        <v>196114.16427054693</v>
      </c>
    </row>
    <row r="279" spans="2:11">
      <c r="B279" s="4">
        <f>IF(LoanIsGood,IF(ROW()-ROW(PaymentSchedule3[[#Headers],[PMT NO]])&gt;ScheduledNumberOfPayments,"",ROW()-ROW(PaymentSchedule3[[#Headers],[PMT NO]])),"")</f>
        <v>263</v>
      </c>
      <c r="C279" s="5">
        <f>IF(PaymentSchedule3[[#This Row],[PMT NO]]&lt;&gt;"",EOMONTH(LoanStartDate,ROW(PaymentSchedule3[[#This Row],[PMT NO]])-ROW(PaymentSchedule3[[#Headers],[PMT NO]])-2)+DAY(LoanStartDate),"")</f>
        <v>52048</v>
      </c>
      <c r="D279" s="7">
        <f>IF(PaymentSchedule3[[#This Row],[PMT NO]]&lt;&gt;"",IF(ROW()-ROW(PaymentSchedule3[[#Headers],[BEGINNING BALANCE]])=1,LoanAmount,INDEX([ENDING BALANCE],ROW()-ROW(PaymentSchedule3[[#Headers],[BEGINNING BALANCE]])-1)),"")</f>
        <v>125455.52119670354</v>
      </c>
      <c r="E279" s="7">
        <f>IF(PaymentSchedule3[[#This Row],[PMT NO]]&lt;&gt;"",ScheduledPayment,"")</f>
        <v>1491.0635231826082</v>
      </c>
      <c r="F27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79" s="7">
        <f>IF(PaymentSchedule3[[#This Row],[PMT NO]]&lt;&gt;"",PaymentSchedule3[[#This Row],[TOTAL PAYMENT]]-PaymentSchedule3[[#This Row],[INTEREST]],"")</f>
        <v>1093.7877060597136</v>
      </c>
      <c r="I279" s="7">
        <f>IF(PaymentSchedule3[[#This Row],[PMT NO]]&lt;&gt;"",PaymentSchedule3[[#This Row],[BEGINNING BALANCE]]*(InterestRate/PaymentsPerYear),"")</f>
        <v>397.27581712289452</v>
      </c>
      <c r="J279" s="7">
        <f>IF(PaymentSchedule3[[#This Row],[PMT NO]]&lt;&gt;"",IF(PaymentSchedule3[[#This Row],[SCHEDULED PAYMENT]]+PaymentSchedule3[[#This Row],[EXTRA PAYMENT]]&lt;=PaymentSchedule3[[#This Row],[BEGINNING BALANCE]],PaymentSchedule3[[#This Row],[BEGINNING BALANCE]]-PaymentSchedule3[[#This Row],[PRINCIPAL]],0),"")</f>
        <v>124361.73349064383</v>
      </c>
      <c r="K279" s="7">
        <f>IF(PaymentSchedule3[[#This Row],[PMT NO]]&lt;&gt;"",SUM(INDEX([INTEREST],1,1):PaymentSchedule3[[#This Row],[INTEREST]]),"")</f>
        <v>196511.44008766982</v>
      </c>
    </row>
    <row r="280" spans="2:11">
      <c r="B280" s="4">
        <f>IF(LoanIsGood,IF(ROW()-ROW(PaymentSchedule3[[#Headers],[PMT NO]])&gt;ScheduledNumberOfPayments,"",ROW()-ROW(PaymentSchedule3[[#Headers],[PMT NO]])),"")</f>
        <v>264</v>
      </c>
      <c r="C280" s="5">
        <f>IF(PaymentSchedule3[[#This Row],[PMT NO]]&lt;&gt;"",EOMONTH(LoanStartDate,ROW(PaymentSchedule3[[#This Row],[PMT NO]])-ROW(PaymentSchedule3[[#Headers],[PMT NO]])-2)+DAY(LoanStartDate),"")</f>
        <v>52079</v>
      </c>
      <c r="D280" s="7">
        <f>IF(PaymentSchedule3[[#This Row],[PMT NO]]&lt;&gt;"",IF(ROW()-ROW(PaymentSchedule3[[#Headers],[BEGINNING BALANCE]])=1,LoanAmount,INDEX([ENDING BALANCE],ROW()-ROW(PaymentSchedule3[[#Headers],[BEGINNING BALANCE]])-1)),"")</f>
        <v>124361.73349064383</v>
      </c>
      <c r="E280" s="7">
        <f>IF(PaymentSchedule3[[#This Row],[PMT NO]]&lt;&gt;"",ScheduledPayment,"")</f>
        <v>1491.0635231826082</v>
      </c>
      <c r="F28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0" s="7">
        <f>IF(PaymentSchedule3[[#This Row],[PMT NO]]&lt;&gt;"",PaymentSchedule3[[#This Row],[TOTAL PAYMENT]]-PaymentSchedule3[[#This Row],[INTEREST]],"")</f>
        <v>1097.2513671289028</v>
      </c>
      <c r="I280" s="7">
        <f>IF(PaymentSchedule3[[#This Row],[PMT NO]]&lt;&gt;"",PaymentSchedule3[[#This Row],[BEGINNING BALANCE]]*(InterestRate/PaymentsPerYear),"")</f>
        <v>393.81215605370545</v>
      </c>
      <c r="J280" s="7">
        <f>IF(PaymentSchedule3[[#This Row],[PMT NO]]&lt;&gt;"",IF(PaymentSchedule3[[#This Row],[SCHEDULED PAYMENT]]+PaymentSchedule3[[#This Row],[EXTRA PAYMENT]]&lt;=PaymentSchedule3[[#This Row],[BEGINNING BALANCE]],PaymentSchedule3[[#This Row],[BEGINNING BALANCE]]-PaymentSchedule3[[#This Row],[PRINCIPAL]],0),"")</f>
        <v>123264.48212351493</v>
      </c>
      <c r="K280" s="7">
        <f>IF(PaymentSchedule3[[#This Row],[PMT NO]]&lt;&gt;"",SUM(INDEX([INTEREST],1,1):PaymentSchedule3[[#This Row],[INTEREST]]),"")</f>
        <v>196905.25224372352</v>
      </c>
    </row>
    <row r="281" spans="2:11">
      <c r="B281" s="4">
        <f>IF(LoanIsGood,IF(ROW()-ROW(PaymentSchedule3[[#Headers],[PMT NO]])&gt;ScheduledNumberOfPayments,"",ROW()-ROW(PaymentSchedule3[[#Headers],[PMT NO]])),"")</f>
        <v>265</v>
      </c>
      <c r="C281" s="5">
        <f>IF(PaymentSchedule3[[#This Row],[PMT NO]]&lt;&gt;"",EOMONTH(LoanStartDate,ROW(PaymentSchedule3[[#This Row],[PMT NO]])-ROW(PaymentSchedule3[[#Headers],[PMT NO]])-2)+DAY(LoanStartDate),"")</f>
        <v>52110</v>
      </c>
      <c r="D281" s="7">
        <f>IF(PaymentSchedule3[[#This Row],[PMT NO]]&lt;&gt;"",IF(ROW()-ROW(PaymentSchedule3[[#Headers],[BEGINNING BALANCE]])=1,LoanAmount,INDEX([ENDING BALANCE],ROW()-ROW(PaymentSchedule3[[#Headers],[BEGINNING BALANCE]])-1)),"")</f>
        <v>123264.48212351493</v>
      </c>
      <c r="E281" s="7">
        <f>IF(PaymentSchedule3[[#This Row],[PMT NO]]&lt;&gt;"",ScheduledPayment,"")</f>
        <v>1491.0635231826082</v>
      </c>
      <c r="F28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1" s="7">
        <f>IF(PaymentSchedule3[[#This Row],[PMT NO]]&lt;&gt;"",PaymentSchedule3[[#This Row],[TOTAL PAYMENT]]-PaymentSchedule3[[#This Row],[INTEREST]],"")</f>
        <v>1100.7259964581442</v>
      </c>
      <c r="I281" s="7">
        <f>IF(PaymentSchedule3[[#This Row],[PMT NO]]&lt;&gt;"",PaymentSchedule3[[#This Row],[BEGINNING BALANCE]]*(InterestRate/PaymentsPerYear),"")</f>
        <v>390.33752672446394</v>
      </c>
      <c r="J281" s="7">
        <f>IF(PaymentSchedule3[[#This Row],[PMT NO]]&lt;&gt;"",IF(PaymentSchedule3[[#This Row],[SCHEDULED PAYMENT]]+PaymentSchedule3[[#This Row],[EXTRA PAYMENT]]&lt;=PaymentSchedule3[[#This Row],[BEGINNING BALANCE]],PaymentSchedule3[[#This Row],[BEGINNING BALANCE]]-PaymentSchedule3[[#This Row],[PRINCIPAL]],0),"")</f>
        <v>122163.75612705678</v>
      </c>
      <c r="K281" s="7">
        <f>IF(PaymentSchedule3[[#This Row],[PMT NO]]&lt;&gt;"",SUM(INDEX([INTEREST],1,1):PaymentSchedule3[[#This Row],[INTEREST]]),"")</f>
        <v>197295.58977044799</v>
      </c>
    </row>
    <row r="282" spans="2:11">
      <c r="B282" s="4">
        <f>IF(LoanIsGood,IF(ROW()-ROW(PaymentSchedule3[[#Headers],[PMT NO]])&gt;ScheduledNumberOfPayments,"",ROW()-ROW(PaymentSchedule3[[#Headers],[PMT NO]])),"")</f>
        <v>266</v>
      </c>
      <c r="C282" s="5">
        <f>IF(PaymentSchedule3[[#This Row],[PMT NO]]&lt;&gt;"",EOMONTH(LoanStartDate,ROW(PaymentSchedule3[[#This Row],[PMT NO]])-ROW(PaymentSchedule3[[#Headers],[PMT NO]])-2)+DAY(LoanStartDate),"")</f>
        <v>52140</v>
      </c>
      <c r="D282" s="7">
        <f>IF(PaymentSchedule3[[#This Row],[PMT NO]]&lt;&gt;"",IF(ROW()-ROW(PaymentSchedule3[[#Headers],[BEGINNING BALANCE]])=1,LoanAmount,INDEX([ENDING BALANCE],ROW()-ROW(PaymentSchedule3[[#Headers],[BEGINNING BALANCE]])-1)),"")</f>
        <v>122163.75612705678</v>
      </c>
      <c r="E282" s="7">
        <f>IF(PaymentSchedule3[[#This Row],[PMT NO]]&lt;&gt;"",ScheduledPayment,"")</f>
        <v>1491.0635231826082</v>
      </c>
      <c r="F28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2" s="7">
        <f>IF(PaymentSchedule3[[#This Row],[PMT NO]]&lt;&gt;"",PaymentSchedule3[[#This Row],[TOTAL PAYMENT]]-PaymentSchedule3[[#This Row],[INTEREST]],"")</f>
        <v>1104.2116287802617</v>
      </c>
      <c r="I282" s="7">
        <f>IF(PaymentSchedule3[[#This Row],[PMT NO]]&lt;&gt;"",PaymentSchedule3[[#This Row],[BEGINNING BALANCE]]*(InterestRate/PaymentsPerYear),"")</f>
        <v>386.85189440234649</v>
      </c>
      <c r="J282" s="7">
        <f>IF(PaymentSchedule3[[#This Row],[PMT NO]]&lt;&gt;"",IF(PaymentSchedule3[[#This Row],[SCHEDULED PAYMENT]]+PaymentSchedule3[[#This Row],[EXTRA PAYMENT]]&lt;=PaymentSchedule3[[#This Row],[BEGINNING BALANCE]],PaymentSchedule3[[#This Row],[BEGINNING BALANCE]]-PaymentSchedule3[[#This Row],[PRINCIPAL]],0),"")</f>
        <v>121059.54449827652</v>
      </c>
      <c r="K282" s="7">
        <f>IF(PaymentSchedule3[[#This Row],[PMT NO]]&lt;&gt;"",SUM(INDEX([INTEREST],1,1):PaymentSchedule3[[#This Row],[INTEREST]]),"")</f>
        <v>197682.44166485034</v>
      </c>
    </row>
    <row r="283" spans="2:11">
      <c r="B283" s="4">
        <f>IF(LoanIsGood,IF(ROW()-ROW(PaymentSchedule3[[#Headers],[PMT NO]])&gt;ScheduledNumberOfPayments,"",ROW()-ROW(PaymentSchedule3[[#Headers],[PMT NO]])),"")</f>
        <v>267</v>
      </c>
      <c r="C283" s="5">
        <f>IF(PaymentSchedule3[[#This Row],[PMT NO]]&lt;&gt;"",EOMONTH(LoanStartDate,ROW(PaymentSchedule3[[#This Row],[PMT NO]])-ROW(PaymentSchedule3[[#Headers],[PMT NO]])-2)+DAY(LoanStartDate),"")</f>
        <v>52171</v>
      </c>
      <c r="D283" s="7">
        <f>IF(PaymentSchedule3[[#This Row],[PMT NO]]&lt;&gt;"",IF(ROW()-ROW(PaymentSchedule3[[#Headers],[BEGINNING BALANCE]])=1,LoanAmount,INDEX([ENDING BALANCE],ROW()-ROW(PaymentSchedule3[[#Headers],[BEGINNING BALANCE]])-1)),"")</f>
        <v>121059.54449827652</v>
      </c>
      <c r="E283" s="7">
        <f>IF(PaymentSchedule3[[#This Row],[PMT NO]]&lt;&gt;"",ScheduledPayment,"")</f>
        <v>1491.0635231826082</v>
      </c>
      <c r="F28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3" s="7">
        <f>IF(PaymentSchedule3[[#This Row],[PMT NO]]&lt;&gt;"",PaymentSchedule3[[#This Row],[TOTAL PAYMENT]]-PaymentSchedule3[[#This Row],[INTEREST]],"")</f>
        <v>1107.7082989380658</v>
      </c>
      <c r="I283" s="7">
        <f>IF(PaymentSchedule3[[#This Row],[PMT NO]]&lt;&gt;"",PaymentSchedule3[[#This Row],[BEGINNING BALANCE]]*(InterestRate/PaymentsPerYear),"")</f>
        <v>383.35522424454228</v>
      </c>
      <c r="J283" s="7">
        <f>IF(PaymentSchedule3[[#This Row],[PMT NO]]&lt;&gt;"",IF(PaymentSchedule3[[#This Row],[SCHEDULED PAYMENT]]+PaymentSchedule3[[#This Row],[EXTRA PAYMENT]]&lt;=PaymentSchedule3[[#This Row],[BEGINNING BALANCE]],PaymentSchedule3[[#This Row],[BEGINNING BALANCE]]-PaymentSchedule3[[#This Row],[PRINCIPAL]],0),"")</f>
        <v>119951.83619933845</v>
      </c>
      <c r="K283" s="7">
        <f>IF(PaymentSchedule3[[#This Row],[PMT NO]]&lt;&gt;"",SUM(INDEX([INTEREST],1,1):PaymentSchedule3[[#This Row],[INTEREST]]),"")</f>
        <v>198065.79688909487</v>
      </c>
    </row>
    <row r="284" spans="2:11">
      <c r="B284" s="4">
        <f>IF(LoanIsGood,IF(ROW()-ROW(PaymentSchedule3[[#Headers],[PMT NO]])&gt;ScheduledNumberOfPayments,"",ROW()-ROW(PaymentSchedule3[[#Headers],[PMT NO]])),"")</f>
        <v>268</v>
      </c>
      <c r="C284" s="5">
        <f>IF(PaymentSchedule3[[#This Row],[PMT NO]]&lt;&gt;"",EOMONTH(LoanStartDate,ROW(PaymentSchedule3[[#This Row],[PMT NO]])-ROW(PaymentSchedule3[[#Headers],[PMT NO]])-2)+DAY(LoanStartDate),"")</f>
        <v>52201</v>
      </c>
      <c r="D284" s="7">
        <f>IF(PaymentSchedule3[[#This Row],[PMT NO]]&lt;&gt;"",IF(ROW()-ROW(PaymentSchedule3[[#Headers],[BEGINNING BALANCE]])=1,LoanAmount,INDEX([ENDING BALANCE],ROW()-ROW(PaymentSchedule3[[#Headers],[BEGINNING BALANCE]])-1)),"")</f>
        <v>119951.83619933845</v>
      </c>
      <c r="E284" s="7">
        <f>IF(PaymentSchedule3[[#This Row],[PMT NO]]&lt;&gt;"",ScheduledPayment,"")</f>
        <v>1491.0635231826082</v>
      </c>
      <c r="F28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4" s="7">
        <f>IF(PaymentSchedule3[[#This Row],[PMT NO]]&lt;&gt;"",PaymentSchedule3[[#This Row],[TOTAL PAYMENT]]-PaymentSchedule3[[#This Row],[INTEREST]],"")</f>
        <v>1111.2160418847031</v>
      </c>
      <c r="I284" s="7">
        <f>IF(PaymentSchedule3[[#This Row],[PMT NO]]&lt;&gt;"",PaymentSchedule3[[#This Row],[BEGINNING BALANCE]]*(InterestRate/PaymentsPerYear),"")</f>
        <v>379.84748129790506</v>
      </c>
      <c r="J284" s="7">
        <f>IF(PaymentSchedule3[[#This Row],[PMT NO]]&lt;&gt;"",IF(PaymentSchedule3[[#This Row],[SCHEDULED PAYMENT]]+PaymentSchedule3[[#This Row],[EXTRA PAYMENT]]&lt;=PaymentSchedule3[[#This Row],[BEGINNING BALANCE]],PaymentSchedule3[[#This Row],[BEGINNING BALANCE]]-PaymentSchedule3[[#This Row],[PRINCIPAL]],0),"")</f>
        <v>118840.62015745374</v>
      </c>
      <c r="K284" s="7">
        <f>IF(PaymentSchedule3[[#This Row],[PMT NO]]&lt;&gt;"",SUM(INDEX([INTEREST],1,1):PaymentSchedule3[[#This Row],[INTEREST]]),"")</f>
        <v>198445.64437039278</v>
      </c>
    </row>
    <row r="285" spans="2:11">
      <c r="B285" s="4">
        <f>IF(LoanIsGood,IF(ROW()-ROW(PaymentSchedule3[[#Headers],[PMT NO]])&gt;ScheduledNumberOfPayments,"",ROW()-ROW(PaymentSchedule3[[#Headers],[PMT NO]])),"")</f>
        <v>269</v>
      </c>
      <c r="C285" s="5">
        <f>IF(PaymentSchedule3[[#This Row],[PMT NO]]&lt;&gt;"",EOMONTH(LoanStartDate,ROW(PaymentSchedule3[[#This Row],[PMT NO]])-ROW(PaymentSchedule3[[#Headers],[PMT NO]])-2)+DAY(LoanStartDate),"")</f>
        <v>52232</v>
      </c>
      <c r="D285" s="7">
        <f>IF(PaymentSchedule3[[#This Row],[PMT NO]]&lt;&gt;"",IF(ROW()-ROW(PaymentSchedule3[[#Headers],[BEGINNING BALANCE]])=1,LoanAmount,INDEX([ENDING BALANCE],ROW()-ROW(PaymentSchedule3[[#Headers],[BEGINNING BALANCE]])-1)),"")</f>
        <v>118840.62015745374</v>
      </c>
      <c r="E285" s="7">
        <f>IF(PaymentSchedule3[[#This Row],[PMT NO]]&lt;&gt;"",ScheduledPayment,"")</f>
        <v>1491.0635231826082</v>
      </c>
      <c r="F28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5" s="7">
        <f>IF(PaymentSchedule3[[#This Row],[PMT NO]]&lt;&gt;"",PaymentSchedule3[[#This Row],[TOTAL PAYMENT]]-PaymentSchedule3[[#This Row],[INTEREST]],"")</f>
        <v>1114.7348926840045</v>
      </c>
      <c r="I285" s="7">
        <f>IF(PaymentSchedule3[[#This Row],[PMT NO]]&lt;&gt;"",PaymentSchedule3[[#This Row],[BEGINNING BALANCE]]*(InterestRate/PaymentsPerYear),"")</f>
        <v>376.3286304986035</v>
      </c>
      <c r="J285" s="7">
        <f>IF(PaymentSchedule3[[#This Row],[PMT NO]]&lt;&gt;"",IF(PaymentSchedule3[[#This Row],[SCHEDULED PAYMENT]]+PaymentSchedule3[[#This Row],[EXTRA PAYMENT]]&lt;=PaymentSchedule3[[#This Row],[BEGINNING BALANCE]],PaymentSchedule3[[#This Row],[BEGINNING BALANCE]]-PaymentSchedule3[[#This Row],[PRINCIPAL]],0),"")</f>
        <v>117725.88526476973</v>
      </c>
      <c r="K285" s="7">
        <f>IF(PaymentSchedule3[[#This Row],[PMT NO]]&lt;&gt;"",SUM(INDEX([INTEREST],1,1):PaymentSchedule3[[#This Row],[INTEREST]]),"")</f>
        <v>198821.97300089139</v>
      </c>
    </row>
    <row r="286" spans="2:11">
      <c r="B286" s="4">
        <f>IF(LoanIsGood,IF(ROW()-ROW(PaymentSchedule3[[#Headers],[PMT NO]])&gt;ScheduledNumberOfPayments,"",ROW()-ROW(PaymentSchedule3[[#Headers],[PMT NO]])),"")</f>
        <v>270</v>
      </c>
      <c r="C286" s="5">
        <f>IF(PaymentSchedule3[[#This Row],[PMT NO]]&lt;&gt;"",EOMONTH(LoanStartDate,ROW(PaymentSchedule3[[#This Row],[PMT NO]])-ROW(PaymentSchedule3[[#Headers],[PMT NO]])-2)+DAY(LoanStartDate),"")</f>
        <v>52263</v>
      </c>
      <c r="D286" s="7">
        <f>IF(PaymentSchedule3[[#This Row],[PMT NO]]&lt;&gt;"",IF(ROW()-ROW(PaymentSchedule3[[#Headers],[BEGINNING BALANCE]])=1,LoanAmount,INDEX([ENDING BALANCE],ROW()-ROW(PaymentSchedule3[[#Headers],[BEGINNING BALANCE]])-1)),"")</f>
        <v>117725.88526476973</v>
      </c>
      <c r="E286" s="7">
        <f>IF(PaymentSchedule3[[#This Row],[PMT NO]]&lt;&gt;"",ScheduledPayment,"")</f>
        <v>1491.0635231826082</v>
      </c>
      <c r="F28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6" s="7">
        <f>IF(PaymentSchedule3[[#This Row],[PMT NO]]&lt;&gt;"",PaymentSchedule3[[#This Row],[TOTAL PAYMENT]]-PaymentSchedule3[[#This Row],[INTEREST]],"")</f>
        <v>1118.2648865108374</v>
      </c>
      <c r="I286" s="7">
        <f>IF(PaymentSchedule3[[#This Row],[PMT NO]]&lt;&gt;"",PaymentSchedule3[[#This Row],[BEGINNING BALANCE]]*(InterestRate/PaymentsPerYear),"")</f>
        <v>372.79863667177079</v>
      </c>
      <c r="J286" s="7">
        <f>IF(PaymentSchedule3[[#This Row],[PMT NO]]&lt;&gt;"",IF(PaymentSchedule3[[#This Row],[SCHEDULED PAYMENT]]+PaymentSchedule3[[#This Row],[EXTRA PAYMENT]]&lt;=PaymentSchedule3[[#This Row],[BEGINNING BALANCE]],PaymentSchedule3[[#This Row],[BEGINNING BALANCE]]-PaymentSchedule3[[#This Row],[PRINCIPAL]],0),"")</f>
        <v>116607.6203782589</v>
      </c>
      <c r="K286" s="7">
        <f>IF(PaymentSchedule3[[#This Row],[PMT NO]]&lt;&gt;"",SUM(INDEX([INTEREST],1,1):PaymentSchedule3[[#This Row],[INTEREST]]),"")</f>
        <v>199194.77163756316</v>
      </c>
    </row>
    <row r="287" spans="2:11">
      <c r="B287" s="4">
        <f>IF(LoanIsGood,IF(ROW()-ROW(PaymentSchedule3[[#Headers],[PMT NO]])&gt;ScheduledNumberOfPayments,"",ROW()-ROW(PaymentSchedule3[[#Headers],[PMT NO]])),"")</f>
        <v>271</v>
      </c>
      <c r="C287" s="5">
        <f>IF(PaymentSchedule3[[#This Row],[PMT NO]]&lt;&gt;"",EOMONTH(LoanStartDate,ROW(PaymentSchedule3[[#This Row],[PMT NO]])-ROW(PaymentSchedule3[[#Headers],[PMT NO]])-2)+DAY(LoanStartDate),"")</f>
        <v>52291</v>
      </c>
      <c r="D287" s="7">
        <f>IF(PaymentSchedule3[[#This Row],[PMT NO]]&lt;&gt;"",IF(ROW()-ROW(PaymentSchedule3[[#Headers],[BEGINNING BALANCE]])=1,LoanAmount,INDEX([ENDING BALANCE],ROW()-ROW(PaymentSchedule3[[#Headers],[BEGINNING BALANCE]])-1)),"")</f>
        <v>116607.6203782589</v>
      </c>
      <c r="E287" s="7">
        <f>IF(PaymentSchedule3[[#This Row],[PMT NO]]&lt;&gt;"",ScheduledPayment,"")</f>
        <v>1491.0635231826082</v>
      </c>
      <c r="F28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7" s="7">
        <f>IF(PaymentSchedule3[[#This Row],[PMT NO]]&lt;&gt;"",PaymentSchedule3[[#This Row],[TOTAL PAYMENT]]-PaymentSchedule3[[#This Row],[INTEREST]],"")</f>
        <v>1121.806058651455</v>
      </c>
      <c r="I287" s="7">
        <f>IF(PaymentSchedule3[[#This Row],[PMT NO]]&lt;&gt;"",PaymentSchedule3[[#This Row],[BEGINNING BALANCE]]*(InterestRate/PaymentsPerYear),"")</f>
        <v>369.25746453115318</v>
      </c>
      <c r="J287" s="7">
        <f>IF(PaymentSchedule3[[#This Row],[PMT NO]]&lt;&gt;"",IF(PaymentSchedule3[[#This Row],[SCHEDULED PAYMENT]]+PaymentSchedule3[[#This Row],[EXTRA PAYMENT]]&lt;=PaymentSchedule3[[#This Row],[BEGINNING BALANCE]],PaymentSchedule3[[#This Row],[BEGINNING BALANCE]]-PaymentSchedule3[[#This Row],[PRINCIPAL]],0),"")</f>
        <v>115485.81431960744</v>
      </c>
      <c r="K287" s="7">
        <f>IF(PaymentSchedule3[[#This Row],[PMT NO]]&lt;&gt;"",SUM(INDEX([INTEREST],1,1):PaymentSchedule3[[#This Row],[INTEREST]]),"")</f>
        <v>199564.0291020943</v>
      </c>
    </row>
    <row r="288" spans="2:11">
      <c r="B288" s="4">
        <f>IF(LoanIsGood,IF(ROW()-ROW(PaymentSchedule3[[#Headers],[PMT NO]])&gt;ScheduledNumberOfPayments,"",ROW()-ROW(PaymentSchedule3[[#Headers],[PMT NO]])),"")</f>
        <v>272</v>
      </c>
      <c r="C288" s="5">
        <f>IF(PaymentSchedule3[[#This Row],[PMT NO]]&lt;&gt;"",EOMONTH(LoanStartDate,ROW(PaymentSchedule3[[#This Row],[PMT NO]])-ROW(PaymentSchedule3[[#Headers],[PMT NO]])-2)+DAY(LoanStartDate),"")</f>
        <v>52322</v>
      </c>
      <c r="D288" s="7">
        <f>IF(PaymentSchedule3[[#This Row],[PMT NO]]&lt;&gt;"",IF(ROW()-ROW(PaymentSchedule3[[#Headers],[BEGINNING BALANCE]])=1,LoanAmount,INDEX([ENDING BALANCE],ROW()-ROW(PaymentSchedule3[[#Headers],[BEGINNING BALANCE]])-1)),"")</f>
        <v>115485.81431960744</v>
      </c>
      <c r="E288" s="7">
        <f>IF(PaymentSchedule3[[#This Row],[PMT NO]]&lt;&gt;"",ScheduledPayment,"")</f>
        <v>1491.0635231826082</v>
      </c>
      <c r="F28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8" s="7">
        <f>IF(PaymentSchedule3[[#This Row],[PMT NO]]&lt;&gt;"",PaymentSchedule3[[#This Row],[TOTAL PAYMENT]]-PaymentSchedule3[[#This Row],[INTEREST]],"")</f>
        <v>1125.3584445038514</v>
      </c>
      <c r="I288" s="7">
        <f>IF(PaymentSchedule3[[#This Row],[PMT NO]]&lt;&gt;"",PaymentSchedule3[[#This Row],[BEGINNING BALANCE]]*(InterestRate/PaymentsPerYear),"")</f>
        <v>365.70507867875688</v>
      </c>
      <c r="J288" s="7">
        <f>IF(PaymentSchedule3[[#This Row],[PMT NO]]&lt;&gt;"",IF(PaymentSchedule3[[#This Row],[SCHEDULED PAYMENT]]+PaymentSchedule3[[#This Row],[EXTRA PAYMENT]]&lt;=PaymentSchedule3[[#This Row],[BEGINNING BALANCE]],PaymentSchedule3[[#This Row],[BEGINNING BALANCE]]-PaymentSchedule3[[#This Row],[PRINCIPAL]],0),"")</f>
        <v>114360.45587510358</v>
      </c>
      <c r="K288" s="7">
        <f>IF(PaymentSchedule3[[#This Row],[PMT NO]]&lt;&gt;"",SUM(INDEX([INTEREST],1,1):PaymentSchedule3[[#This Row],[INTEREST]]),"")</f>
        <v>199929.73418077306</v>
      </c>
    </row>
    <row r="289" spans="2:11">
      <c r="B289" s="4">
        <f>IF(LoanIsGood,IF(ROW()-ROW(PaymentSchedule3[[#Headers],[PMT NO]])&gt;ScheduledNumberOfPayments,"",ROW()-ROW(PaymentSchedule3[[#Headers],[PMT NO]])),"")</f>
        <v>273</v>
      </c>
      <c r="C289" s="5">
        <f>IF(PaymentSchedule3[[#This Row],[PMT NO]]&lt;&gt;"",EOMONTH(LoanStartDate,ROW(PaymentSchedule3[[#This Row],[PMT NO]])-ROW(PaymentSchedule3[[#Headers],[PMT NO]])-2)+DAY(LoanStartDate),"")</f>
        <v>52352</v>
      </c>
      <c r="D289" s="7">
        <f>IF(PaymentSchedule3[[#This Row],[PMT NO]]&lt;&gt;"",IF(ROW()-ROW(PaymentSchedule3[[#Headers],[BEGINNING BALANCE]])=1,LoanAmount,INDEX([ENDING BALANCE],ROW()-ROW(PaymentSchedule3[[#Headers],[BEGINNING BALANCE]])-1)),"")</f>
        <v>114360.45587510358</v>
      </c>
      <c r="E289" s="7">
        <f>IF(PaymentSchedule3[[#This Row],[PMT NO]]&lt;&gt;"",ScheduledPayment,"")</f>
        <v>1491.0635231826082</v>
      </c>
      <c r="F28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89" s="7">
        <f>IF(PaymentSchedule3[[#This Row],[PMT NO]]&lt;&gt;"",PaymentSchedule3[[#This Row],[TOTAL PAYMENT]]-PaymentSchedule3[[#This Row],[INTEREST]],"")</f>
        <v>1128.9220795781134</v>
      </c>
      <c r="I289" s="7">
        <f>IF(PaymentSchedule3[[#This Row],[PMT NO]]&lt;&gt;"",PaymentSchedule3[[#This Row],[BEGINNING BALANCE]]*(InterestRate/PaymentsPerYear),"")</f>
        <v>362.14144360449467</v>
      </c>
      <c r="J289" s="7">
        <f>IF(PaymentSchedule3[[#This Row],[PMT NO]]&lt;&gt;"",IF(PaymentSchedule3[[#This Row],[SCHEDULED PAYMENT]]+PaymentSchedule3[[#This Row],[EXTRA PAYMENT]]&lt;=PaymentSchedule3[[#This Row],[BEGINNING BALANCE]],PaymentSchedule3[[#This Row],[BEGINNING BALANCE]]-PaymentSchedule3[[#This Row],[PRINCIPAL]],0),"")</f>
        <v>113231.53379552547</v>
      </c>
      <c r="K289" s="7">
        <f>IF(PaymentSchedule3[[#This Row],[PMT NO]]&lt;&gt;"",SUM(INDEX([INTEREST],1,1):PaymentSchedule3[[#This Row],[INTEREST]]),"")</f>
        <v>200291.87562437754</v>
      </c>
    </row>
    <row r="290" spans="2:11">
      <c r="B290" s="4">
        <f>IF(LoanIsGood,IF(ROW()-ROW(PaymentSchedule3[[#Headers],[PMT NO]])&gt;ScheduledNumberOfPayments,"",ROW()-ROW(PaymentSchedule3[[#Headers],[PMT NO]])),"")</f>
        <v>274</v>
      </c>
      <c r="C290" s="5">
        <f>IF(PaymentSchedule3[[#This Row],[PMT NO]]&lt;&gt;"",EOMONTH(LoanStartDate,ROW(PaymentSchedule3[[#This Row],[PMT NO]])-ROW(PaymentSchedule3[[#Headers],[PMT NO]])-2)+DAY(LoanStartDate),"")</f>
        <v>52383</v>
      </c>
      <c r="D290" s="7">
        <f>IF(PaymentSchedule3[[#This Row],[PMT NO]]&lt;&gt;"",IF(ROW()-ROW(PaymentSchedule3[[#Headers],[BEGINNING BALANCE]])=1,LoanAmount,INDEX([ENDING BALANCE],ROW()-ROW(PaymentSchedule3[[#Headers],[BEGINNING BALANCE]])-1)),"")</f>
        <v>113231.53379552547</v>
      </c>
      <c r="E290" s="7">
        <f>IF(PaymentSchedule3[[#This Row],[PMT NO]]&lt;&gt;"",ScheduledPayment,"")</f>
        <v>1491.0635231826082</v>
      </c>
      <c r="F29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0" s="7">
        <f>IF(PaymentSchedule3[[#This Row],[PMT NO]]&lt;&gt;"",PaymentSchedule3[[#This Row],[TOTAL PAYMENT]]-PaymentSchedule3[[#This Row],[INTEREST]],"")</f>
        <v>1132.4969994967776</v>
      </c>
      <c r="I290" s="7">
        <f>IF(PaymentSchedule3[[#This Row],[PMT NO]]&lt;&gt;"",PaymentSchedule3[[#This Row],[BEGINNING BALANCE]]*(InterestRate/PaymentsPerYear),"")</f>
        <v>358.56652368583065</v>
      </c>
      <c r="J290" s="7">
        <f>IF(PaymentSchedule3[[#This Row],[PMT NO]]&lt;&gt;"",IF(PaymentSchedule3[[#This Row],[SCHEDULED PAYMENT]]+PaymentSchedule3[[#This Row],[EXTRA PAYMENT]]&lt;=PaymentSchedule3[[#This Row],[BEGINNING BALANCE]],PaymentSchedule3[[#This Row],[BEGINNING BALANCE]]-PaymentSchedule3[[#This Row],[PRINCIPAL]],0),"")</f>
        <v>112099.03679602868</v>
      </c>
      <c r="K290" s="7">
        <f>IF(PaymentSchedule3[[#This Row],[PMT NO]]&lt;&gt;"",SUM(INDEX([INTEREST],1,1):PaymentSchedule3[[#This Row],[INTEREST]]),"")</f>
        <v>200650.44214806336</v>
      </c>
    </row>
    <row r="291" spans="2:11">
      <c r="B291" s="4">
        <f>IF(LoanIsGood,IF(ROW()-ROW(PaymentSchedule3[[#Headers],[PMT NO]])&gt;ScheduledNumberOfPayments,"",ROW()-ROW(PaymentSchedule3[[#Headers],[PMT NO]])),"")</f>
        <v>275</v>
      </c>
      <c r="C291" s="5">
        <f>IF(PaymentSchedule3[[#This Row],[PMT NO]]&lt;&gt;"",EOMONTH(LoanStartDate,ROW(PaymentSchedule3[[#This Row],[PMT NO]])-ROW(PaymentSchedule3[[#Headers],[PMT NO]])-2)+DAY(LoanStartDate),"")</f>
        <v>52413</v>
      </c>
      <c r="D291" s="7">
        <f>IF(PaymentSchedule3[[#This Row],[PMT NO]]&lt;&gt;"",IF(ROW()-ROW(PaymentSchedule3[[#Headers],[BEGINNING BALANCE]])=1,LoanAmount,INDEX([ENDING BALANCE],ROW()-ROW(PaymentSchedule3[[#Headers],[BEGINNING BALANCE]])-1)),"")</f>
        <v>112099.03679602868</v>
      </c>
      <c r="E291" s="7">
        <f>IF(PaymentSchedule3[[#This Row],[PMT NO]]&lt;&gt;"",ScheduledPayment,"")</f>
        <v>1491.0635231826082</v>
      </c>
      <c r="F29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1" s="7">
        <f>IF(PaymentSchedule3[[#This Row],[PMT NO]]&lt;&gt;"",PaymentSchedule3[[#This Row],[TOTAL PAYMENT]]-PaymentSchedule3[[#This Row],[INTEREST]],"")</f>
        <v>1136.0832399951839</v>
      </c>
      <c r="I291" s="7">
        <f>IF(PaymentSchedule3[[#This Row],[PMT NO]]&lt;&gt;"",PaymentSchedule3[[#This Row],[BEGINNING BALANCE]]*(InterestRate/PaymentsPerYear),"")</f>
        <v>354.98028318742416</v>
      </c>
      <c r="J291" s="7">
        <f>IF(PaymentSchedule3[[#This Row],[PMT NO]]&lt;&gt;"",IF(PaymentSchedule3[[#This Row],[SCHEDULED PAYMENT]]+PaymentSchedule3[[#This Row],[EXTRA PAYMENT]]&lt;=PaymentSchedule3[[#This Row],[BEGINNING BALANCE]],PaymentSchedule3[[#This Row],[BEGINNING BALANCE]]-PaymentSchedule3[[#This Row],[PRINCIPAL]],0),"")</f>
        <v>110962.95355603349</v>
      </c>
      <c r="K291" s="7">
        <f>IF(PaymentSchedule3[[#This Row],[PMT NO]]&lt;&gt;"",SUM(INDEX([INTEREST],1,1):PaymentSchedule3[[#This Row],[INTEREST]]),"")</f>
        <v>201005.42243125077</v>
      </c>
    </row>
    <row r="292" spans="2:11">
      <c r="B292" s="4">
        <f>IF(LoanIsGood,IF(ROW()-ROW(PaymentSchedule3[[#Headers],[PMT NO]])&gt;ScheduledNumberOfPayments,"",ROW()-ROW(PaymentSchedule3[[#Headers],[PMT NO]])),"")</f>
        <v>276</v>
      </c>
      <c r="C292" s="5">
        <f>IF(PaymentSchedule3[[#This Row],[PMT NO]]&lt;&gt;"",EOMONTH(LoanStartDate,ROW(PaymentSchedule3[[#This Row],[PMT NO]])-ROW(PaymentSchedule3[[#Headers],[PMT NO]])-2)+DAY(LoanStartDate),"")</f>
        <v>52444</v>
      </c>
      <c r="D292" s="7">
        <f>IF(PaymentSchedule3[[#This Row],[PMT NO]]&lt;&gt;"",IF(ROW()-ROW(PaymentSchedule3[[#Headers],[BEGINNING BALANCE]])=1,LoanAmount,INDEX([ENDING BALANCE],ROW()-ROW(PaymentSchedule3[[#Headers],[BEGINNING BALANCE]])-1)),"")</f>
        <v>110962.95355603349</v>
      </c>
      <c r="E292" s="7">
        <f>IF(PaymentSchedule3[[#This Row],[PMT NO]]&lt;&gt;"",ScheduledPayment,"")</f>
        <v>1491.0635231826082</v>
      </c>
      <c r="F29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2" s="7">
        <f>IF(PaymentSchedule3[[#This Row],[PMT NO]]&lt;&gt;"",PaymentSchedule3[[#This Row],[TOTAL PAYMENT]]-PaymentSchedule3[[#This Row],[INTEREST]],"")</f>
        <v>1139.6808369218354</v>
      </c>
      <c r="I292" s="7">
        <f>IF(PaymentSchedule3[[#This Row],[PMT NO]]&lt;&gt;"",PaymentSchedule3[[#This Row],[BEGINNING BALANCE]]*(InterestRate/PaymentsPerYear),"")</f>
        <v>351.38268626077269</v>
      </c>
      <c r="J292" s="7">
        <f>IF(PaymentSchedule3[[#This Row],[PMT NO]]&lt;&gt;"",IF(PaymentSchedule3[[#This Row],[SCHEDULED PAYMENT]]+PaymentSchedule3[[#This Row],[EXTRA PAYMENT]]&lt;=PaymentSchedule3[[#This Row],[BEGINNING BALANCE]],PaymentSchedule3[[#This Row],[BEGINNING BALANCE]]-PaymentSchedule3[[#This Row],[PRINCIPAL]],0),"")</f>
        <v>109823.27271911166</v>
      </c>
      <c r="K292" s="7">
        <f>IF(PaymentSchedule3[[#This Row],[PMT NO]]&lt;&gt;"",SUM(INDEX([INTEREST],1,1):PaymentSchedule3[[#This Row],[INTEREST]]),"")</f>
        <v>201356.80511751154</v>
      </c>
    </row>
    <row r="293" spans="2:11">
      <c r="B293" s="4">
        <f>IF(LoanIsGood,IF(ROW()-ROW(PaymentSchedule3[[#Headers],[PMT NO]])&gt;ScheduledNumberOfPayments,"",ROW()-ROW(PaymentSchedule3[[#Headers],[PMT NO]])),"")</f>
        <v>277</v>
      </c>
      <c r="C293" s="5">
        <f>IF(PaymentSchedule3[[#This Row],[PMT NO]]&lt;&gt;"",EOMONTH(LoanStartDate,ROW(PaymentSchedule3[[#This Row],[PMT NO]])-ROW(PaymentSchedule3[[#Headers],[PMT NO]])-2)+DAY(LoanStartDate),"")</f>
        <v>52475</v>
      </c>
      <c r="D293" s="7">
        <f>IF(PaymentSchedule3[[#This Row],[PMT NO]]&lt;&gt;"",IF(ROW()-ROW(PaymentSchedule3[[#Headers],[BEGINNING BALANCE]])=1,LoanAmount,INDEX([ENDING BALANCE],ROW()-ROW(PaymentSchedule3[[#Headers],[BEGINNING BALANCE]])-1)),"")</f>
        <v>109823.27271911166</v>
      </c>
      <c r="E293" s="7">
        <f>IF(PaymentSchedule3[[#This Row],[PMT NO]]&lt;&gt;"",ScheduledPayment,"")</f>
        <v>1491.0635231826082</v>
      </c>
      <c r="F29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3" s="7">
        <f>IF(PaymentSchedule3[[#This Row],[PMT NO]]&lt;&gt;"",PaymentSchedule3[[#This Row],[TOTAL PAYMENT]]-PaymentSchedule3[[#This Row],[INTEREST]],"")</f>
        <v>1143.2898262387546</v>
      </c>
      <c r="I293" s="7">
        <f>IF(PaymentSchedule3[[#This Row],[PMT NO]]&lt;&gt;"",PaymentSchedule3[[#This Row],[BEGINNING BALANCE]]*(InterestRate/PaymentsPerYear),"")</f>
        <v>347.77369694385357</v>
      </c>
      <c r="J293" s="7">
        <f>IF(PaymentSchedule3[[#This Row],[PMT NO]]&lt;&gt;"",IF(PaymentSchedule3[[#This Row],[SCHEDULED PAYMENT]]+PaymentSchedule3[[#This Row],[EXTRA PAYMENT]]&lt;=PaymentSchedule3[[#This Row],[BEGINNING BALANCE]],PaymentSchedule3[[#This Row],[BEGINNING BALANCE]]-PaymentSchedule3[[#This Row],[PRINCIPAL]],0),"")</f>
        <v>108679.9828928729</v>
      </c>
      <c r="K293" s="7">
        <f>IF(PaymentSchedule3[[#This Row],[PMT NO]]&lt;&gt;"",SUM(INDEX([INTEREST],1,1):PaymentSchedule3[[#This Row],[INTEREST]]),"")</f>
        <v>201704.5788144554</v>
      </c>
    </row>
    <row r="294" spans="2:11">
      <c r="B294" s="4">
        <f>IF(LoanIsGood,IF(ROW()-ROW(PaymentSchedule3[[#Headers],[PMT NO]])&gt;ScheduledNumberOfPayments,"",ROW()-ROW(PaymentSchedule3[[#Headers],[PMT NO]])),"")</f>
        <v>278</v>
      </c>
      <c r="C294" s="5">
        <f>IF(PaymentSchedule3[[#This Row],[PMT NO]]&lt;&gt;"",EOMONTH(LoanStartDate,ROW(PaymentSchedule3[[#This Row],[PMT NO]])-ROW(PaymentSchedule3[[#Headers],[PMT NO]])-2)+DAY(LoanStartDate),"")</f>
        <v>52505</v>
      </c>
      <c r="D294" s="7">
        <f>IF(PaymentSchedule3[[#This Row],[PMT NO]]&lt;&gt;"",IF(ROW()-ROW(PaymentSchedule3[[#Headers],[BEGINNING BALANCE]])=1,LoanAmount,INDEX([ENDING BALANCE],ROW()-ROW(PaymentSchedule3[[#Headers],[BEGINNING BALANCE]])-1)),"")</f>
        <v>108679.9828928729</v>
      </c>
      <c r="E294" s="7">
        <f>IF(PaymentSchedule3[[#This Row],[PMT NO]]&lt;&gt;"",ScheduledPayment,"")</f>
        <v>1491.0635231826082</v>
      </c>
      <c r="F29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4" s="7">
        <f>IF(PaymentSchedule3[[#This Row],[PMT NO]]&lt;&gt;"",PaymentSchedule3[[#This Row],[TOTAL PAYMENT]]-PaymentSchedule3[[#This Row],[INTEREST]],"")</f>
        <v>1146.9102440218439</v>
      </c>
      <c r="I294" s="7">
        <f>IF(PaymentSchedule3[[#This Row],[PMT NO]]&lt;&gt;"",PaymentSchedule3[[#This Row],[BEGINNING BALANCE]]*(InterestRate/PaymentsPerYear),"")</f>
        <v>344.15327916076416</v>
      </c>
      <c r="J294" s="7">
        <f>IF(PaymentSchedule3[[#This Row],[PMT NO]]&lt;&gt;"",IF(PaymentSchedule3[[#This Row],[SCHEDULED PAYMENT]]+PaymentSchedule3[[#This Row],[EXTRA PAYMENT]]&lt;=PaymentSchedule3[[#This Row],[BEGINNING BALANCE]],PaymentSchedule3[[#This Row],[BEGINNING BALANCE]]-PaymentSchedule3[[#This Row],[PRINCIPAL]],0),"")</f>
        <v>107533.07264885106</v>
      </c>
      <c r="K294" s="7">
        <f>IF(PaymentSchedule3[[#This Row],[PMT NO]]&lt;&gt;"",SUM(INDEX([INTEREST],1,1):PaymentSchedule3[[#This Row],[INTEREST]]),"")</f>
        <v>202048.73209361616</v>
      </c>
    </row>
    <row r="295" spans="2:11">
      <c r="B295" s="4">
        <f>IF(LoanIsGood,IF(ROW()-ROW(PaymentSchedule3[[#Headers],[PMT NO]])&gt;ScheduledNumberOfPayments,"",ROW()-ROW(PaymentSchedule3[[#Headers],[PMT NO]])),"")</f>
        <v>279</v>
      </c>
      <c r="C295" s="5">
        <f>IF(PaymentSchedule3[[#This Row],[PMT NO]]&lt;&gt;"",EOMONTH(LoanStartDate,ROW(PaymentSchedule3[[#This Row],[PMT NO]])-ROW(PaymentSchedule3[[#Headers],[PMT NO]])-2)+DAY(LoanStartDate),"")</f>
        <v>52536</v>
      </c>
      <c r="D295" s="7">
        <f>IF(PaymentSchedule3[[#This Row],[PMT NO]]&lt;&gt;"",IF(ROW()-ROW(PaymentSchedule3[[#Headers],[BEGINNING BALANCE]])=1,LoanAmount,INDEX([ENDING BALANCE],ROW()-ROW(PaymentSchedule3[[#Headers],[BEGINNING BALANCE]])-1)),"")</f>
        <v>107533.07264885106</v>
      </c>
      <c r="E295" s="7">
        <f>IF(PaymentSchedule3[[#This Row],[PMT NO]]&lt;&gt;"",ScheduledPayment,"")</f>
        <v>1491.0635231826082</v>
      </c>
      <c r="F29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5" s="7">
        <f>IF(PaymentSchedule3[[#This Row],[PMT NO]]&lt;&gt;"",PaymentSchedule3[[#This Row],[TOTAL PAYMENT]]-PaymentSchedule3[[#This Row],[INTEREST]],"")</f>
        <v>1150.5421264612464</v>
      </c>
      <c r="I295" s="7">
        <f>IF(PaymentSchedule3[[#This Row],[PMT NO]]&lt;&gt;"",PaymentSchedule3[[#This Row],[BEGINNING BALANCE]]*(InterestRate/PaymentsPerYear),"")</f>
        <v>340.52139672136167</v>
      </c>
      <c r="J295" s="7">
        <f>IF(PaymentSchedule3[[#This Row],[PMT NO]]&lt;&gt;"",IF(PaymentSchedule3[[#This Row],[SCHEDULED PAYMENT]]+PaymentSchedule3[[#This Row],[EXTRA PAYMENT]]&lt;=PaymentSchedule3[[#This Row],[BEGINNING BALANCE]],PaymentSchedule3[[#This Row],[BEGINNING BALANCE]]-PaymentSchedule3[[#This Row],[PRINCIPAL]],0),"")</f>
        <v>106382.5305223898</v>
      </c>
      <c r="K295" s="7">
        <f>IF(PaymentSchedule3[[#This Row],[PMT NO]]&lt;&gt;"",SUM(INDEX([INTEREST],1,1):PaymentSchedule3[[#This Row],[INTEREST]]),"")</f>
        <v>202389.25349033752</v>
      </c>
    </row>
    <row r="296" spans="2:11">
      <c r="B296" s="4">
        <f>IF(LoanIsGood,IF(ROW()-ROW(PaymentSchedule3[[#Headers],[PMT NO]])&gt;ScheduledNumberOfPayments,"",ROW()-ROW(PaymentSchedule3[[#Headers],[PMT NO]])),"")</f>
        <v>280</v>
      </c>
      <c r="C296" s="5">
        <f>IF(PaymentSchedule3[[#This Row],[PMT NO]]&lt;&gt;"",EOMONTH(LoanStartDate,ROW(PaymentSchedule3[[#This Row],[PMT NO]])-ROW(PaymentSchedule3[[#Headers],[PMT NO]])-2)+DAY(LoanStartDate),"")</f>
        <v>52566</v>
      </c>
      <c r="D296" s="7">
        <f>IF(PaymentSchedule3[[#This Row],[PMT NO]]&lt;&gt;"",IF(ROW()-ROW(PaymentSchedule3[[#Headers],[BEGINNING BALANCE]])=1,LoanAmount,INDEX([ENDING BALANCE],ROW()-ROW(PaymentSchedule3[[#Headers],[BEGINNING BALANCE]])-1)),"")</f>
        <v>106382.5305223898</v>
      </c>
      <c r="E296" s="7">
        <f>IF(PaymentSchedule3[[#This Row],[PMT NO]]&lt;&gt;"",ScheduledPayment,"")</f>
        <v>1491.0635231826082</v>
      </c>
      <c r="F29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6" s="7">
        <f>IF(PaymentSchedule3[[#This Row],[PMT NO]]&lt;&gt;"",PaymentSchedule3[[#This Row],[TOTAL PAYMENT]]-PaymentSchedule3[[#This Row],[INTEREST]],"")</f>
        <v>1154.185509861707</v>
      </c>
      <c r="I296" s="7">
        <f>IF(PaymentSchedule3[[#This Row],[PMT NO]]&lt;&gt;"",PaymentSchedule3[[#This Row],[BEGINNING BALANCE]]*(InterestRate/PaymentsPerYear),"")</f>
        <v>336.87801332090106</v>
      </c>
      <c r="J296" s="7">
        <f>IF(PaymentSchedule3[[#This Row],[PMT NO]]&lt;&gt;"",IF(PaymentSchedule3[[#This Row],[SCHEDULED PAYMENT]]+PaymentSchedule3[[#This Row],[EXTRA PAYMENT]]&lt;=PaymentSchedule3[[#This Row],[BEGINNING BALANCE]],PaymentSchedule3[[#This Row],[BEGINNING BALANCE]]-PaymentSchedule3[[#This Row],[PRINCIPAL]],0),"")</f>
        <v>105228.34501252809</v>
      </c>
      <c r="K296" s="7">
        <f>IF(PaymentSchedule3[[#This Row],[PMT NO]]&lt;&gt;"",SUM(INDEX([INTEREST],1,1):PaymentSchedule3[[#This Row],[INTEREST]]),"")</f>
        <v>202726.13150365843</v>
      </c>
    </row>
    <row r="297" spans="2:11">
      <c r="B297" s="4">
        <f>IF(LoanIsGood,IF(ROW()-ROW(PaymentSchedule3[[#Headers],[PMT NO]])&gt;ScheduledNumberOfPayments,"",ROW()-ROW(PaymentSchedule3[[#Headers],[PMT NO]])),"")</f>
        <v>281</v>
      </c>
      <c r="C297" s="5">
        <f>IF(PaymentSchedule3[[#This Row],[PMT NO]]&lt;&gt;"",EOMONTH(LoanStartDate,ROW(PaymentSchedule3[[#This Row],[PMT NO]])-ROW(PaymentSchedule3[[#Headers],[PMT NO]])-2)+DAY(LoanStartDate),"")</f>
        <v>52597</v>
      </c>
      <c r="D297" s="7">
        <f>IF(PaymentSchedule3[[#This Row],[PMT NO]]&lt;&gt;"",IF(ROW()-ROW(PaymentSchedule3[[#Headers],[BEGINNING BALANCE]])=1,LoanAmount,INDEX([ENDING BALANCE],ROW()-ROW(PaymentSchedule3[[#Headers],[BEGINNING BALANCE]])-1)),"")</f>
        <v>105228.34501252809</v>
      </c>
      <c r="E297" s="7">
        <f>IF(PaymentSchedule3[[#This Row],[PMT NO]]&lt;&gt;"",ScheduledPayment,"")</f>
        <v>1491.0635231826082</v>
      </c>
      <c r="F29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7" s="7">
        <f>IF(PaymentSchedule3[[#This Row],[PMT NO]]&lt;&gt;"",PaymentSchedule3[[#This Row],[TOTAL PAYMENT]]-PaymentSchedule3[[#This Row],[INTEREST]],"")</f>
        <v>1157.8404306429359</v>
      </c>
      <c r="I297" s="7">
        <f>IF(PaymentSchedule3[[#This Row],[PMT NO]]&lt;&gt;"",PaymentSchedule3[[#This Row],[BEGINNING BALANCE]]*(InterestRate/PaymentsPerYear),"")</f>
        <v>333.22309253967228</v>
      </c>
      <c r="J297" s="7">
        <f>IF(PaymentSchedule3[[#This Row],[PMT NO]]&lt;&gt;"",IF(PaymentSchedule3[[#This Row],[SCHEDULED PAYMENT]]+PaymentSchedule3[[#This Row],[EXTRA PAYMENT]]&lt;=PaymentSchedule3[[#This Row],[BEGINNING BALANCE]],PaymentSchedule3[[#This Row],[BEGINNING BALANCE]]-PaymentSchedule3[[#This Row],[PRINCIPAL]],0),"")</f>
        <v>104070.50458188516</v>
      </c>
      <c r="K297" s="7">
        <f>IF(PaymentSchedule3[[#This Row],[PMT NO]]&lt;&gt;"",SUM(INDEX([INTEREST],1,1):PaymentSchedule3[[#This Row],[INTEREST]]),"")</f>
        <v>203059.3545961981</v>
      </c>
    </row>
    <row r="298" spans="2:11">
      <c r="B298" s="4">
        <f>IF(LoanIsGood,IF(ROW()-ROW(PaymentSchedule3[[#Headers],[PMT NO]])&gt;ScheduledNumberOfPayments,"",ROW()-ROW(PaymentSchedule3[[#Headers],[PMT NO]])),"")</f>
        <v>282</v>
      </c>
      <c r="C298" s="5">
        <f>IF(PaymentSchedule3[[#This Row],[PMT NO]]&lt;&gt;"",EOMONTH(LoanStartDate,ROW(PaymentSchedule3[[#This Row],[PMT NO]])-ROW(PaymentSchedule3[[#Headers],[PMT NO]])-2)+DAY(LoanStartDate),"")</f>
        <v>52628</v>
      </c>
      <c r="D298" s="7">
        <f>IF(PaymentSchedule3[[#This Row],[PMT NO]]&lt;&gt;"",IF(ROW()-ROW(PaymentSchedule3[[#Headers],[BEGINNING BALANCE]])=1,LoanAmount,INDEX([ENDING BALANCE],ROW()-ROW(PaymentSchedule3[[#Headers],[BEGINNING BALANCE]])-1)),"")</f>
        <v>104070.50458188516</v>
      </c>
      <c r="E298" s="7">
        <f>IF(PaymentSchedule3[[#This Row],[PMT NO]]&lt;&gt;"",ScheduledPayment,"")</f>
        <v>1491.0635231826082</v>
      </c>
      <c r="F29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8" s="7">
        <f>IF(PaymentSchedule3[[#This Row],[PMT NO]]&lt;&gt;"",PaymentSchedule3[[#This Row],[TOTAL PAYMENT]]-PaymentSchedule3[[#This Row],[INTEREST]],"")</f>
        <v>1161.5069253399718</v>
      </c>
      <c r="I298" s="7">
        <f>IF(PaymentSchedule3[[#This Row],[PMT NO]]&lt;&gt;"",PaymentSchedule3[[#This Row],[BEGINNING BALANCE]]*(InterestRate/PaymentsPerYear),"")</f>
        <v>329.55659784263634</v>
      </c>
      <c r="J298" s="7">
        <f>IF(PaymentSchedule3[[#This Row],[PMT NO]]&lt;&gt;"",IF(PaymentSchedule3[[#This Row],[SCHEDULED PAYMENT]]+PaymentSchedule3[[#This Row],[EXTRA PAYMENT]]&lt;=PaymentSchedule3[[#This Row],[BEGINNING BALANCE]],PaymentSchedule3[[#This Row],[BEGINNING BALANCE]]-PaymentSchedule3[[#This Row],[PRINCIPAL]],0),"")</f>
        <v>102908.99765654519</v>
      </c>
      <c r="K298" s="7">
        <f>IF(PaymentSchedule3[[#This Row],[PMT NO]]&lt;&gt;"",SUM(INDEX([INTEREST],1,1):PaymentSchedule3[[#This Row],[INTEREST]]),"")</f>
        <v>203388.91119404073</v>
      </c>
    </row>
    <row r="299" spans="2:11">
      <c r="B299" s="4">
        <f>IF(LoanIsGood,IF(ROW()-ROW(PaymentSchedule3[[#Headers],[PMT NO]])&gt;ScheduledNumberOfPayments,"",ROW()-ROW(PaymentSchedule3[[#Headers],[PMT NO]])),"")</f>
        <v>283</v>
      </c>
      <c r="C299" s="5">
        <f>IF(PaymentSchedule3[[#This Row],[PMT NO]]&lt;&gt;"",EOMONTH(LoanStartDate,ROW(PaymentSchedule3[[#This Row],[PMT NO]])-ROW(PaymentSchedule3[[#Headers],[PMT NO]])-2)+DAY(LoanStartDate),"")</f>
        <v>52657</v>
      </c>
      <c r="D299" s="7">
        <f>IF(PaymentSchedule3[[#This Row],[PMT NO]]&lt;&gt;"",IF(ROW()-ROW(PaymentSchedule3[[#Headers],[BEGINNING BALANCE]])=1,LoanAmount,INDEX([ENDING BALANCE],ROW()-ROW(PaymentSchedule3[[#Headers],[BEGINNING BALANCE]])-1)),"")</f>
        <v>102908.99765654519</v>
      </c>
      <c r="E299" s="7">
        <f>IF(PaymentSchedule3[[#This Row],[PMT NO]]&lt;&gt;"",ScheduledPayment,"")</f>
        <v>1491.0635231826082</v>
      </c>
      <c r="F29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299" s="7">
        <f>IF(PaymentSchedule3[[#This Row],[PMT NO]]&lt;&gt;"",PaymentSchedule3[[#This Row],[TOTAL PAYMENT]]-PaymentSchedule3[[#This Row],[INTEREST]],"")</f>
        <v>1165.1850306035485</v>
      </c>
      <c r="I299" s="7">
        <f>IF(PaymentSchedule3[[#This Row],[PMT NO]]&lt;&gt;"",PaymentSchedule3[[#This Row],[BEGINNING BALANCE]]*(InterestRate/PaymentsPerYear),"")</f>
        <v>325.87849257905975</v>
      </c>
      <c r="J299" s="7">
        <f>IF(PaymentSchedule3[[#This Row],[PMT NO]]&lt;&gt;"",IF(PaymentSchedule3[[#This Row],[SCHEDULED PAYMENT]]+PaymentSchedule3[[#This Row],[EXTRA PAYMENT]]&lt;=PaymentSchedule3[[#This Row],[BEGINNING BALANCE]],PaymentSchedule3[[#This Row],[BEGINNING BALANCE]]-PaymentSchedule3[[#This Row],[PRINCIPAL]],0),"")</f>
        <v>101743.81262594165</v>
      </c>
      <c r="K299" s="7">
        <f>IF(PaymentSchedule3[[#This Row],[PMT NO]]&lt;&gt;"",SUM(INDEX([INTEREST],1,1):PaymentSchedule3[[#This Row],[INTEREST]]),"")</f>
        <v>203714.7896866198</v>
      </c>
    </row>
    <row r="300" spans="2:11">
      <c r="B300" s="4">
        <f>IF(LoanIsGood,IF(ROW()-ROW(PaymentSchedule3[[#Headers],[PMT NO]])&gt;ScheduledNumberOfPayments,"",ROW()-ROW(PaymentSchedule3[[#Headers],[PMT NO]])),"")</f>
        <v>284</v>
      </c>
      <c r="C300" s="5">
        <f>IF(PaymentSchedule3[[#This Row],[PMT NO]]&lt;&gt;"",EOMONTH(LoanStartDate,ROW(PaymentSchedule3[[#This Row],[PMT NO]])-ROW(PaymentSchedule3[[#Headers],[PMT NO]])-2)+DAY(LoanStartDate),"")</f>
        <v>52688</v>
      </c>
      <c r="D300" s="7">
        <f>IF(PaymentSchedule3[[#This Row],[PMT NO]]&lt;&gt;"",IF(ROW()-ROW(PaymentSchedule3[[#Headers],[BEGINNING BALANCE]])=1,LoanAmount,INDEX([ENDING BALANCE],ROW()-ROW(PaymentSchedule3[[#Headers],[BEGINNING BALANCE]])-1)),"")</f>
        <v>101743.81262594165</v>
      </c>
      <c r="E300" s="7">
        <f>IF(PaymentSchedule3[[#This Row],[PMT NO]]&lt;&gt;"",ScheduledPayment,"")</f>
        <v>1491.0635231826082</v>
      </c>
      <c r="F30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0" s="7">
        <f>IF(PaymentSchedule3[[#This Row],[PMT NO]]&lt;&gt;"",PaymentSchedule3[[#This Row],[TOTAL PAYMENT]]-PaymentSchedule3[[#This Row],[INTEREST]],"")</f>
        <v>1168.8747832004597</v>
      </c>
      <c r="I300" s="7">
        <f>IF(PaymentSchedule3[[#This Row],[PMT NO]]&lt;&gt;"",PaymentSchedule3[[#This Row],[BEGINNING BALANCE]]*(InterestRate/PaymentsPerYear),"")</f>
        <v>322.18873998214855</v>
      </c>
      <c r="J300" s="7">
        <f>IF(PaymentSchedule3[[#This Row],[PMT NO]]&lt;&gt;"",IF(PaymentSchedule3[[#This Row],[SCHEDULED PAYMENT]]+PaymentSchedule3[[#This Row],[EXTRA PAYMENT]]&lt;=PaymentSchedule3[[#This Row],[BEGINNING BALANCE]],PaymentSchedule3[[#This Row],[BEGINNING BALANCE]]-PaymentSchedule3[[#This Row],[PRINCIPAL]],0),"")</f>
        <v>100574.93784274119</v>
      </c>
      <c r="K300" s="7">
        <f>IF(PaymentSchedule3[[#This Row],[PMT NO]]&lt;&gt;"",SUM(INDEX([INTEREST],1,1):PaymentSchedule3[[#This Row],[INTEREST]]),"")</f>
        <v>204036.97842660194</v>
      </c>
    </row>
    <row r="301" spans="2:11">
      <c r="B301" s="4">
        <f>IF(LoanIsGood,IF(ROW()-ROW(PaymentSchedule3[[#Headers],[PMT NO]])&gt;ScheduledNumberOfPayments,"",ROW()-ROW(PaymentSchedule3[[#Headers],[PMT NO]])),"")</f>
        <v>285</v>
      </c>
      <c r="C301" s="5">
        <f>IF(PaymentSchedule3[[#This Row],[PMT NO]]&lt;&gt;"",EOMONTH(LoanStartDate,ROW(PaymentSchedule3[[#This Row],[PMT NO]])-ROW(PaymentSchedule3[[#Headers],[PMT NO]])-2)+DAY(LoanStartDate),"")</f>
        <v>52718</v>
      </c>
      <c r="D301" s="7">
        <f>IF(PaymentSchedule3[[#This Row],[PMT NO]]&lt;&gt;"",IF(ROW()-ROW(PaymentSchedule3[[#Headers],[BEGINNING BALANCE]])=1,LoanAmount,INDEX([ENDING BALANCE],ROW()-ROW(PaymentSchedule3[[#Headers],[BEGINNING BALANCE]])-1)),"")</f>
        <v>100574.93784274119</v>
      </c>
      <c r="E301" s="7">
        <f>IF(PaymentSchedule3[[#This Row],[PMT NO]]&lt;&gt;"",ScheduledPayment,"")</f>
        <v>1491.0635231826082</v>
      </c>
      <c r="F30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1" s="7">
        <f>IF(PaymentSchedule3[[#This Row],[PMT NO]]&lt;&gt;"",PaymentSchedule3[[#This Row],[TOTAL PAYMENT]]-PaymentSchedule3[[#This Row],[INTEREST]],"")</f>
        <v>1172.5762200139277</v>
      </c>
      <c r="I301" s="7">
        <f>IF(PaymentSchedule3[[#This Row],[PMT NO]]&lt;&gt;"",PaymentSchedule3[[#This Row],[BEGINNING BALANCE]]*(InterestRate/PaymentsPerYear),"")</f>
        <v>318.4873031686804</v>
      </c>
      <c r="J301" s="7">
        <f>IF(PaymentSchedule3[[#This Row],[PMT NO]]&lt;&gt;"",IF(PaymentSchedule3[[#This Row],[SCHEDULED PAYMENT]]+PaymentSchedule3[[#This Row],[EXTRA PAYMENT]]&lt;=PaymentSchedule3[[#This Row],[BEGINNING BALANCE]],PaymentSchedule3[[#This Row],[BEGINNING BALANCE]]-PaymentSchedule3[[#This Row],[PRINCIPAL]],0),"")</f>
        <v>99402.361622727258</v>
      </c>
      <c r="K301" s="7">
        <f>IF(PaymentSchedule3[[#This Row],[PMT NO]]&lt;&gt;"",SUM(INDEX([INTEREST],1,1):PaymentSchedule3[[#This Row],[INTEREST]]),"")</f>
        <v>204355.46572977063</v>
      </c>
    </row>
    <row r="302" spans="2:11">
      <c r="B302" s="4">
        <f>IF(LoanIsGood,IF(ROW()-ROW(PaymentSchedule3[[#Headers],[PMT NO]])&gt;ScheduledNumberOfPayments,"",ROW()-ROW(PaymentSchedule3[[#Headers],[PMT NO]])),"")</f>
        <v>286</v>
      </c>
      <c r="C302" s="5">
        <f>IF(PaymentSchedule3[[#This Row],[PMT NO]]&lt;&gt;"",EOMONTH(LoanStartDate,ROW(PaymentSchedule3[[#This Row],[PMT NO]])-ROW(PaymentSchedule3[[#Headers],[PMT NO]])-2)+DAY(LoanStartDate),"")</f>
        <v>52749</v>
      </c>
      <c r="D302" s="7">
        <f>IF(PaymentSchedule3[[#This Row],[PMT NO]]&lt;&gt;"",IF(ROW()-ROW(PaymentSchedule3[[#Headers],[BEGINNING BALANCE]])=1,LoanAmount,INDEX([ENDING BALANCE],ROW()-ROW(PaymentSchedule3[[#Headers],[BEGINNING BALANCE]])-1)),"")</f>
        <v>99402.361622727258</v>
      </c>
      <c r="E302" s="7">
        <f>IF(PaymentSchedule3[[#This Row],[PMT NO]]&lt;&gt;"",ScheduledPayment,"")</f>
        <v>1491.0635231826082</v>
      </c>
      <c r="F30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2" s="7">
        <f>IF(PaymentSchedule3[[#This Row],[PMT NO]]&lt;&gt;"",PaymentSchedule3[[#This Row],[TOTAL PAYMENT]]-PaymentSchedule3[[#This Row],[INTEREST]],"")</f>
        <v>1176.2893780439717</v>
      </c>
      <c r="I302" s="7">
        <f>IF(PaymentSchedule3[[#This Row],[PMT NO]]&lt;&gt;"",PaymentSchedule3[[#This Row],[BEGINNING BALANCE]]*(InterestRate/PaymentsPerYear),"")</f>
        <v>314.7741451386363</v>
      </c>
      <c r="J302" s="7">
        <f>IF(PaymentSchedule3[[#This Row],[PMT NO]]&lt;&gt;"",IF(PaymentSchedule3[[#This Row],[SCHEDULED PAYMENT]]+PaymentSchedule3[[#This Row],[EXTRA PAYMENT]]&lt;=PaymentSchedule3[[#This Row],[BEGINNING BALANCE]],PaymentSchedule3[[#This Row],[BEGINNING BALANCE]]-PaymentSchedule3[[#This Row],[PRINCIPAL]],0),"")</f>
        <v>98226.072244683281</v>
      </c>
      <c r="K302" s="7">
        <f>IF(PaymentSchedule3[[#This Row],[PMT NO]]&lt;&gt;"",SUM(INDEX([INTEREST],1,1):PaymentSchedule3[[#This Row],[INTEREST]]),"")</f>
        <v>204670.23987490925</v>
      </c>
    </row>
    <row r="303" spans="2:11">
      <c r="B303" s="4">
        <f>IF(LoanIsGood,IF(ROW()-ROW(PaymentSchedule3[[#Headers],[PMT NO]])&gt;ScheduledNumberOfPayments,"",ROW()-ROW(PaymentSchedule3[[#Headers],[PMT NO]])),"")</f>
        <v>287</v>
      </c>
      <c r="C303" s="5">
        <f>IF(PaymentSchedule3[[#This Row],[PMT NO]]&lt;&gt;"",EOMONTH(LoanStartDate,ROW(PaymentSchedule3[[#This Row],[PMT NO]])-ROW(PaymentSchedule3[[#Headers],[PMT NO]])-2)+DAY(LoanStartDate),"")</f>
        <v>52779</v>
      </c>
      <c r="D303" s="7">
        <f>IF(PaymentSchedule3[[#This Row],[PMT NO]]&lt;&gt;"",IF(ROW()-ROW(PaymentSchedule3[[#Headers],[BEGINNING BALANCE]])=1,LoanAmount,INDEX([ENDING BALANCE],ROW()-ROW(PaymentSchedule3[[#Headers],[BEGINNING BALANCE]])-1)),"")</f>
        <v>98226.072244683281</v>
      </c>
      <c r="E303" s="7">
        <f>IF(PaymentSchedule3[[#This Row],[PMT NO]]&lt;&gt;"",ScheduledPayment,"")</f>
        <v>1491.0635231826082</v>
      </c>
      <c r="F30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3" s="7">
        <f>IF(PaymentSchedule3[[#This Row],[PMT NO]]&lt;&gt;"",PaymentSchedule3[[#This Row],[TOTAL PAYMENT]]-PaymentSchedule3[[#This Row],[INTEREST]],"")</f>
        <v>1180.0142944077777</v>
      </c>
      <c r="I303" s="7">
        <f>IF(PaymentSchedule3[[#This Row],[PMT NO]]&lt;&gt;"",PaymentSchedule3[[#This Row],[BEGINNING BALANCE]]*(InterestRate/PaymentsPerYear),"")</f>
        <v>311.0492287748304</v>
      </c>
      <c r="J303" s="7">
        <f>IF(PaymentSchedule3[[#This Row],[PMT NO]]&lt;&gt;"",IF(PaymentSchedule3[[#This Row],[SCHEDULED PAYMENT]]+PaymentSchedule3[[#This Row],[EXTRA PAYMENT]]&lt;=PaymentSchedule3[[#This Row],[BEGINNING BALANCE]],PaymentSchedule3[[#This Row],[BEGINNING BALANCE]]-PaymentSchedule3[[#This Row],[PRINCIPAL]],0),"")</f>
        <v>97046.057950275499</v>
      </c>
      <c r="K303" s="7">
        <f>IF(PaymentSchedule3[[#This Row],[PMT NO]]&lt;&gt;"",SUM(INDEX([INTEREST],1,1):PaymentSchedule3[[#This Row],[INTEREST]]),"")</f>
        <v>204981.28910368407</v>
      </c>
    </row>
    <row r="304" spans="2:11">
      <c r="B304" s="4">
        <f>IF(LoanIsGood,IF(ROW()-ROW(PaymentSchedule3[[#Headers],[PMT NO]])&gt;ScheduledNumberOfPayments,"",ROW()-ROW(PaymentSchedule3[[#Headers],[PMT NO]])),"")</f>
        <v>288</v>
      </c>
      <c r="C304" s="5">
        <f>IF(PaymentSchedule3[[#This Row],[PMT NO]]&lt;&gt;"",EOMONTH(LoanStartDate,ROW(PaymentSchedule3[[#This Row],[PMT NO]])-ROW(PaymentSchedule3[[#Headers],[PMT NO]])-2)+DAY(LoanStartDate),"")</f>
        <v>52810</v>
      </c>
      <c r="D304" s="7">
        <f>IF(PaymentSchedule3[[#This Row],[PMT NO]]&lt;&gt;"",IF(ROW()-ROW(PaymentSchedule3[[#Headers],[BEGINNING BALANCE]])=1,LoanAmount,INDEX([ENDING BALANCE],ROW()-ROW(PaymentSchedule3[[#Headers],[BEGINNING BALANCE]])-1)),"")</f>
        <v>97046.057950275499</v>
      </c>
      <c r="E304" s="7">
        <f>IF(PaymentSchedule3[[#This Row],[PMT NO]]&lt;&gt;"",ScheduledPayment,"")</f>
        <v>1491.0635231826082</v>
      </c>
      <c r="F30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4" s="7">
        <f>IF(PaymentSchedule3[[#This Row],[PMT NO]]&lt;&gt;"",PaymentSchedule3[[#This Row],[TOTAL PAYMENT]]-PaymentSchedule3[[#This Row],[INTEREST]],"")</f>
        <v>1183.7510063400691</v>
      </c>
      <c r="I304" s="7">
        <f>IF(PaymentSchedule3[[#This Row],[PMT NO]]&lt;&gt;"",PaymentSchedule3[[#This Row],[BEGINNING BALANCE]]*(InterestRate/PaymentsPerYear),"")</f>
        <v>307.31251684253908</v>
      </c>
      <c r="J304" s="7">
        <f>IF(PaymentSchedule3[[#This Row],[PMT NO]]&lt;&gt;"",IF(PaymentSchedule3[[#This Row],[SCHEDULED PAYMENT]]+PaymentSchedule3[[#This Row],[EXTRA PAYMENT]]&lt;=PaymentSchedule3[[#This Row],[BEGINNING BALANCE]],PaymentSchedule3[[#This Row],[BEGINNING BALANCE]]-PaymentSchedule3[[#This Row],[PRINCIPAL]],0),"")</f>
        <v>95862.306943935429</v>
      </c>
      <c r="K304" s="7">
        <f>IF(PaymentSchedule3[[#This Row],[PMT NO]]&lt;&gt;"",SUM(INDEX([INTEREST],1,1):PaymentSchedule3[[#This Row],[INTEREST]]),"")</f>
        <v>205288.60162052661</v>
      </c>
    </row>
    <row r="305" spans="2:11">
      <c r="B305" s="4">
        <f>IF(LoanIsGood,IF(ROW()-ROW(PaymentSchedule3[[#Headers],[PMT NO]])&gt;ScheduledNumberOfPayments,"",ROW()-ROW(PaymentSchedule3[[#Headers],[PMT NO]])),"")</f>
        <v>289</v>
      </c>
      <c r="C305" s="5">
        <f>IF(PaymentSchedule3[[#This Row],[PMT NO]]&lt;&gt;"",EOMONTH(LoanStartDate,ROW(PaymentSchedule3[[#This Row],[PMT NO]])-ROW(PaymentSchedule3[[#Headers],[PMT NO]])-2)+DAY(LoanStartDate),"")</f>
        <v>52841</v>
      </c>
      <c r="D305" s="7">
        <f>IF(PaymentSchedule3[[#This Row],[PMT NO]]&lt;&gt;"",IF(ROW()-ROW(PaymentSchedule3[[#Headers],[BEGINNING BALANCE]])=1,LoanAmount,INDEX([ENDING BALANCE],ROW()-ROW(PaymentSchedule3[[#Headers],[BEGINNING BALANCE]])-1)),"")</f>
        <v>95862.306943935429</v>
      </c>
      <c r="E305" s="7">
        <f>IF(PaymentSchedule3[[#This Row],[PMT NO]]&lt;&gt;"",ScheduledPayment,"")</f>
        <v>1491.0635231826082</v>
      </c>
      <c r="F30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5" s="7">
        <f>IF(PaymentSchedule3[[#This Row],[PMT NO]]&lt;&gt;"",PaymentSchedule3[[#This Row],[TOTAL PAYMENT]]-PaymentSchedule3[[#This Row],[INTEREST]],"")</f>
        <v>1187.4995511934794</v>
      </c>
      <c r="I305" s="7">
        <f>IF(PaymentSchedule3[[#This Row],[PMT NO]]&lt;&gt;"",PaymentSchedule3[[#This Row],[BEGINNING BALANCE]]*(InterestRate/PaymentsPerYear),"")</f>
        <v>303.56397198912885</v>
      </c>
      <c r="J305" s="7">
        <f>IF(PaymentSchedule3[[#This Row],[PMT NO]]&lt;&gt;"",IF(PaymentSchedule3[[#This Row],[SCHEDULED PAYMENT]]+PaymentSchedule3[[#This Row],[EXTRA PAYMENT]]&lt;=PaymentSchedule3[[#This Row],[BEGINNING BALANCE]],PaymentSchedule3[[#This Row],[BEGINNING BALANCE]]-PaymentSchedule3[[#This Row],[PRINCIPAL]],0),"")</f>
        <v>94674.807392741946</v>
      </c>
      <c r="K305" s="7">
        <f>IF(PaymentSchedule3[[#This Row],[PMT NO]]&lt;&gt;"",SUM(INDEX([INTEREST],1,1):PaymentSchedule3[[#This Row],[INTEREST]]),"")</f>
        <v>205592.16559251572</v>
      </c>
    </row>
    <row r="306" spans="2:11">
      <c r="B306" s="4">
        <f>IF(LoanIsGood,IF(ROW()-ROW(PaymentSchedule3[[#Headers],[PMT NO]])&gt;ScheduledNumberOfPayments,"",ROW()-ROW(PaymentSchedule3[[#Headers],[PMT NO]])),"")</f>
        <v>290</v>
      </c>
      <c r="C306" s="5">
        <f>IF(PaymentSchedule3[[#This Row],[PMT NO]]&lt;&gt;"",EOMONTH(LoanStartDate,ROW(PaymentSchedule3[[#This Row],[PMT NO]])-ROW(PaymentSchedule3[[#Headers],[PMT NO]])-2)+DAY(LoanStartDate),"")</f>
        <v>52871</v>
      </c>
      <c r="D306" s="7">
        <f>IF(PaymentSchedule3[[#This Row],[PMT NO]]&lt;&gt;"",IF(ROW()-ROW(PaymentSchedule3[[#Headers],[BEGINNING BALANCE]])=1,LoanAmount,INDEX([ENDING BALANCE],ROW()-ROW(PaymentSchedule3[[#Headers],[BEGINNING BALANCE]])-1)),"")</f>
        <v>94674.807392741946</v>
      </c>
      <c r="E306" s="7">
        <f>IF(PaymentSchedule3[[#This Row],[PMT NO]]&lt;&gt;"",ScheduledPayment,"")</f>
        <v>1491.0635231826082</v>
      </c>
      <c r="F30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6" s="7">
        <f>IF(PaymentSchedule3[[#This Row],[PMT NO]]&lt;&gt;"",PaymentSchedule3[[#This Row],[TOTAL PAYMENT]]-PaymentSchedule3[[#This Row],[INTEREST]],"")</f>
        <v>1191.2599664389254</v>
      </c>
      <c r="I306" s="7">
        <f>IF(PaymentSchedule3[[#This Row],[PMT NO]]&lt;&gt;"",PaymentSchedule3[[#This Row],[BEGINNING BALANCE]]*(InterestRate/PaymentsPerYear),"")</f>
        <v>299.8035567436828</v>
      </c>
      <c r="J306" s="7">
        <f>IF(PaymentSchedule3[[#This Row],[PMT NO]]&lt;&gt;"",IF(PaymentSchedule3[[#This Row],[SCHEDULED PAYMENT]]+PaymentSchedule3[[#This Row],[EXTRA PAYMENT]]&lt;=PaymentSchedule3[[#This Row],[BEGINNING BALANCE]],PaymentSchedule3[[#This Row],[BEGINNING BALANCE]]-PaymentSchedule3[[#This Row],[PRINCIPAL]],0),"")</f>
        <v>93483.547426303019</v>
      </c>
      <c r="K306" s="7">
        <f>IF(PaymentSchedule3[[#This Row],[PMT NO]]&lt;&gt;"",SUM(INDEX([INTEREST],1,1):PaymentSchedule3[[#This Row],[INTEREST]]),"")</f>
        <v>205891.96914925941</v>
      </c>
    </row>
    <row r="307" spans="2:11">
      <c r="B307" s="4">
        <f>IF(LoanIsGood,IF(ROW()-ROW(PaymentSchedule3[[#Headers],[PMT NO]])&gt;ScheduledNumberOfPayments,"",ROW()-ROW(PaymentSchedule3[[#Headers],[PMT NO]])),"")</f>
        <v>291</v>
      </c>
      <c r="C307" s="5">
        <f>IF(PaymentSchedule3[[#This Row],[PMT NO]]&lt;&gt;"",EOMONTH(LoanStartDate,ROW(PaymentSchedule3[[#This Row],[PMT NO]])-ROW(PaymentSchedule3[[#Headers],[PMT NO]])-2)+DAY(LoanStartDate),"")</f>
        <v>52902</v>
      </c>
      <c r="D307" s="7">
        <f>IF(PaymentSchedule3[[#This Row],[PMT NO]]&lt;&gt;"",IF(ROW()-ROW(PaymentSchedule3[[#Headers],[BEGINNING BALANCE]])=1,LoanAmount,INDEX([ENDING BALANCE],ROW()-ROW(PaymentSchedule3[[#Headers],[BEGINNING BALANCE]])-1)),"")</f>
        <v>93483.547426303019</v>
      </c>
      <c r="E307" s="7">
        <f>IF(PaymentSchedule3[[#This Row],[PMT NO]]&lt;&gt;"",ScheduledPayment,"")</f>
        <v>1491.0635231826082</v>
      </c>
      <c r="F30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7" s="7">
        <f>IF(PaymentSchedule3[[#This Row],[PMT NO]]&lt;&gt;"",PaymentSchedule3[[#This Row],[TOTAL PAYMENT]]-PaymentSchedule3[[#This Row],[INTEREST]],"")</f>
        <v>1195.0322896659818</v>
      </c>
      <c r="I307" s="7">
        <f>IF(PaymentSchedule3[[#This Row],[PMT NO]]&lt;&gt;"",PaymentSchedule3[[#This Row],[BEGINNING BALANCE]]*(InterestRate/PaymentsPerYear),"")</f>
        <v>296.03123351662623</v>
      </c>
      <c r="J307" s="7">
        <f>IF(PaymentSchedule3[[#This Row],[PMT NO]]&lt;&gt;"",IF(PaymentSchedule3[[#This Row],[SCHEDULED PAYMENT]]+PaymentSchedule3[[#This Row],[EXTRA PAYMENT]]&lt;=PaymentSchedule3[[#This Row],[BEGINNING BALANCE]],PaymentSchedule3[[#This Row],[BEGINNING BALANCE]]-PaymentSchedule3[[#This Row],[PRINCIPAL]],0),"")</f>
        <v>92288.515136637041</v>
      </c>
      <c r="K307" s="7">
        <f>IF(PaymentSchedule3[[#This Row],[PMT NO]]&lt;&gt;"",SUM(INDEX([INTEREST],1,1):PaymentSchedule3[[#This Row],[INTEREST]]),"")</f>
        <v>206188.00038277605</v>
      </c>
    </row>
    <row r="308" spans="2:11">
      <c r="B308" s="4">
        <f>IF(LoanIsGood,IF(ROW()-ROW(PaymentSchedule3[[#Headers],[PMT NO]])&gt;ScheduledNumberOfPayments,"",ROW()-ROW(PaymentSchedule3[[#Headers],[PMT NO]])),"")</f>
        <v>292</v>
      </c>
      <c r="C308" s="5">
        <f>IF(PaymentSchedule3[[#This Row],[PMT NO]]&lt;&gt;"",EOMONTH(LoanStartDate,ROW(PaymentSchedule3[[#This Row],[PMT NO]])-ROW(PaymentSchedule3[[#Headers],[PMT NO]])-2)+DAY(LoanStartDate),"")</f>
        <v>52932</v>
      </c>
      <c r="D308" s="7">
        <f>IF(PaymentSchedule3[[#This Row],[PMT NO]]&lt;&gt;"",IF(ROW()-ROW(PaymentSchedule3[[#Headers],[BEGINNING BALANCE]])=1,LoanAmount,INDEX([ENDING BALANCE],ROW()-ROW(PaymentSchedule3[[#Headers],[BEGINNING BALANCE]])-1)),"")</f>
        <v>92288.515136637041</v>
      </c>
      <c r="E308" s="7">
        <f>IF(PaymentSchedule3[[#This Row],[PMT NO]]&lt;&gt;"",ScheduledPayment,"")</f>
        <v>1491.0635231826082</v>
      </c>
      <c r="F30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8" s="7">
        <f>IF(PaymentSchedule3[[#This Row],[PMT NO]]&lt;&gt;"",PaymentSchedule3[[#This Row],[TOTAL PAYMENT]]-PaymentSchedule3[[#This Row],[INTEREST]],"")</f>
        <v>1198.8165585832576</v>
      </c>
      <c r="I308" s="7">
        <f>IF(PaymentSchedule3[[#This Row],[PMT NO]]&lt;&gt;"",PaymentSchedule3[[#This Row],[BEGINNING BALANCE]]*(InterestRate/PaymentsPerYear),"")</f>
        <v>292.24696459935063</v>
      </c>
      <c r="J308" s="7">
        <f>IF(PaymentSchedule3[[#This Row],[PMT NO]]&lt;&gt;"",IF(PaymentSchedule3[[#This Row],[SCHEDULED PAYMENT]]+PaymentSchedule3[[#This Row],[EXTRA PAYMENT]]&lt;=PaymentSchedule3[[#This Row],[BEGINNING BALANCE]],PaymentSchedule3[[#This Row],[BEGINNING BALANCE]]-PaymentSchedule3[[#This Row],[PRINCIPAL]],0),"")</f>
        <v>91089.69857805378</v>
      </c>
      <c r="K308" s="7">
        <f>IF(PaymentSchedule3[[#This Row],[PMT NO]]&lt;&gt;"",SUM(INDEX([INTEREST],1,1):PaymentSchedule3[[#This Row],[INTEREST]]),"")</f>
        <v>206480.24734737541</v>
      </c>
    </row>
    <row r="309" spans="2:11">
      <c r="B309" s="4">
        <f>IF(LoanIsGood,IF(ROW()-ROW(PaymentSchedule3[[#Headers],[PMT NO]])&gt;ScheduledNumberOfPayments,"",ROW()-ROW(PaymentSchedule3[[#Headers],[PMT NO]])),"")</f>
        <v>293</v>
      </c>
      <c r="C309" s="5">
        <f>IF(PaymentSchedule3[[#This Row],[PMT NO]]&lt;&gt;"",EOMONTH(LoanStartDate,ROW(PaymentSchedule3[[#This Row],[PMT NO]])-ROW(PaymentSchedule3[[#Headers],[PMT NO]])-2)+DAY(LoanStartDate),"")</f>
        <v>52963</v>
      </c>
      <c r="D309" s="7">
        <f>IF(PaymentSchedule3[[#This Row],[PMT NO]]&lt;&gt;"",IF(ROW()-ROW(PaymentSchedule3[[#Headers],[BEGINNING BALANCE]])=1,LoanAmount,INDEX([ENDING BALANCE],ROW()-ROW(PaymentSchedule3[[#Headers],[BEGINNING BALANCE]])-1)),"")</f>
        <v>91089.69857805378</v>
      </c>
      <c r="E309" s="7">
        <f>IF(PaymentSchedule3[[#This Row],[PMT NO]]&lt;&gt;"",ScheduledPayment,"")</f>
        <v>1491.0635231826082</v>
      </c>
      <c r="F30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09" s="7">
        <f>IF(PaymentSchedule3[[#This Row],[PMT NO]]&lt;&gt;"",PaymentSchedule3[[#This Row],[TOTAL PAYMENT]]-PaymentSchedule3[[#This Row],[INTEREST]],"")</f>
        <v>1202.6128110187713</v>
      </c>
      <c r="I309" s="7">
        <f>IF(PaymentSchedule3[[#This Row],[PMT NO]]&lt;&gt;"",PaymentSchedule3[[#This Row],[BEGINNING BALANCE]]*(InterestRate/PaymentsPerYear),"")</f>
        <v>288.45071216383695</v>
      </c>
      <c r="J309" s="7">
        <f>IF(PaymentSchedule3[[#This Row],[PMT NO]]&lt;&gt;"",IF(PaymentSchedule3[[#This Row],[SCHEDULED PAYMENT]]+PaymentSchedule3[[#This Row],[EXTRA PAYMENT]]&lt;=PaymentSchedule3[[#This Row],[BEGINNING BALANCE]],PaymentSchedule3[[#This Row],[BEGINNING BALANCE]]-PaymentSchedule3[[#This Row],[PRINCIPAL]],0),"")</f>
        <v>89887.085767035009</v>
      </c>
      <c r="K309" s="7">
        <f>IF(PaymentSchedule3[[#This Row],[PMT NO]]&lt;&gt;"",SUM(INDEX([INTEREST],1,1):PaymentSchedule3[[#This Row],[INTEREST]]),"")</f>
        <v>206768.69805953925</v>
      </c>
    </row>
    <row r="310" spans="2:11">
      <c r="B310" s="4">
        <f>IF(LoanIsGood,IF(ROW()-ROW(PaymentSchedule3[[#Headers],[PMT NO]])&gt;ScheduledNumberOfPayments,"",ROW()-ROW(PaymentSchedule3[[#Headers],[PMT NO]])),"")</f>
        <v>294</v>
      </c>
      <c r="C310" s="5">
        <f>IF(PaymentSchedule3[[#This Row],[PMT NO]]&lt;&gt;"",EOMONTH(LoanStartDate,ROW(PaymentSchedule3[[#This Row],[PMT NO]])-ROW(PaymentSchedule3[[#Headers],[PMT NO]])-2)+DAY(LoanStartDate),"")</f>
        <v>52994</v>
      </c>
      <c r="D310" s="7">
        <f>IF(PaymentSchedule3[[#This Row],[PMT NO]]&lt;&gt;"",IF(ROW()-ROW(PaymentSchedule3[[#Headers],[BEGINNING BALANCE]])=1,LoanAmount,INDEX([ENDING BALANCE],ROW()-ROW(PaymentSchedule3[[#Headers],[BEGINNING BALANCE]])-1)),"")</f>
        <v>89887.085767035009</v>
      </c>
      <c r="E310" s="7">
        <f>IF(PaymentSchedule3[[#This Row],[PMT NO]]&lt;&gt;"",ScheduledPayment,"")</f>
        <v>1491.0635231826082</v>
      </c>
      <c r="F31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0" s="7">
        <f>IF(PaymentSchedule3[[#This Row],[PMT NO]]&lt;&gt;"",PaymentSchedule3[[#This Row],[TOTAL PAYMENT]]-PaymentSchedule3[[#This Row],[INTEREST]],"")</f>
        <v>1206.4210849203307</v>
      </c>
      <c r="I310" s="7">
        <f>IF(PaymentSchedule3[[#This Row],[PMT NO]]&lt;&gt;"",PaymentSchedule3[[#This Row],[BEGINNING BALANCE]]*(InterestRate/PaymentsPerYear),"")</f>
        <v>284.64243826227749</v>
      </c>
      <c r="J310" s="7">
        <f>IF(PaymentSchedule3[[#This Row],[PMT NO]]&lt;&gt;"",IF(PaymentSchedule3[[#This Row],[SCHEDULED PAYMENT]]+PaymentSchedule3[[#This Row],[EXTRA PAYMENT]]&lt;=PaymentSchedule3[[#This Row],[BEGINNING BALANCE]],PaymentSchedule3[[#This Row],[BEGINNING BALANCE]]-PaymentSchedule3[[#This Row],[PRINCIPAL]],0),"")</f>
        <v>88680.664682114671</v>
      </c>
      <c r="K310" s="7">
        <f>IF(PaymentSchedule3[[#This Row],[PMT NO]]&lt;&gt;"",SUM(INDEX([INTEREST],1,1):PaymentSchedule3[[#This Row],[INTEREST]]),"")</f>
        <v>207053.34049780152</v>
      </c>
    </row>
    <row r="311" spans="2:11">
      <c r="B311" s="4">
        <f>IF(LoanIsGood,IF(ROW()-ROW(PaymentSchedule3[[#Headers],[PMT NO]])&gt;ScheduledNumberOfPayments,"",ROW()-ROW(PaymentSchedule3[[#Headers],[PMT NO]])),"")</f>
        <v>295</v>
      </c>
      <c r="C311" s="5">
        <f>IF(PaymentSchedule3[[#This Row],[PMT NO]]&lt;&gt;"",EOMONTH(LoanStartDate,ROW(PaymentSchedule3[[#This Row],[PMT NO]])-ROW(PaymentSchedule3[[#Headers],[PMT NO]])-2)+DAY(LoanStartDate),"")</f>
        <v>53022</v>
      </c>
      <c r="D311" s="7">
        <f>IF(PaymentSchedule3[[#This Row],[PMT NO]]&lt;&gt;"",IF(ROW()-ROW(PaymentSchedule3[[#Headers],[BEGINNING BALANCE]])=1,LoanAmount,INDEX([ENDING BALANCE],ROW()-ROW(PaymentSchedule3[[#Headers],[BEGINNING BALANCE]])-1)),"")</f>
        <v>88680.664682114671</v>
      </c>
      <c r="E311" s="7">
        <f>IF(PaymentSchedule3[[#This Row],[PMT NO]]&lt;&gt;"",ScheduledPayment,"")</f>
        <v>1491.0635231826082</v>
      </c>
      <c r="F31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1" s="7">
        <f>IF(PaymentSchedule3[[#This Row],[PMT NO]]&lt;&gt;"",PaymentSchedule3[[#This Row],[TOTAL PAYMENT]]-PaymentSchedule3[[#This Row],[INTEREST]],"")</f>
        <v>1210.2414183559117</v>
      </c>
      <c r="I311" s="7">
        <f>IF(PaymentSchedule3[[#This Row],[PMT NO]]&lt;&gt;"",PaymentSchedule3[[#This Row],[BEGINNING BALANCE]]*(InterestRate/PaymentsPerYear),"")</f>
        <v>280.82210482669643</v>
      </c>
      <c r="J311" s="7">
        <f>IF(PaymentSchedule3[[#This Row],[PMT NO]]&lt;&gt;"",IF(PaymentSchedule3[[#This Row],[SCHEDULED PAYMENT]]+PaymentSchedule3[[#This Row],[EXTRA PAYMENT]]&lt;=PaymentSchedule3[[#This Row],[BEGINNING BALANCE]],PaymentSchedule3[[#This Row],[BEGINNING BALANCE]]-PaymentSchedule3[[#This Row],[PRINCIPAL]],0),"")</f>
        <v>87470.423263758756</v>
      </c>
      <c r="K311" s="7">
        <f>IF(PaymentSchedule3[[#This Row],[PMT NO]]&lt;&gt;"",SUM(INDEX([INTEREST],1,1):PaymentSchedule3[[#This Row],[INTEREST]]),"")</f>
        <v>207334.1626026282</v>
      </c>
    </row>
    <row r="312" spans="2:11">
      <c r="B312" s="4">
        <f>IF(LoanIsGood,IF(ROW()-ROW(PaymentSchedule3[[#Headers],[PMT NO]])&gt;ScheduledNumberOfPayments,"",ROW()-ROW(PaymentSchedule3[[#Headers],[PMT NO]])),"")</f>
        <v>296</v>
      </c>
      <c r="C312" s="5">
        <f>IF(PaymentSchedule3[[#This Row],[PMT NO]]&lt;&gt;"",EOMONTH(LoanStartDate,ROW(PaymentSchedule3[[#This Row],[PMT NO]])-ROW(PaymentSchedule3[[#Headers],[PMT NO]])-2)+DAY(LoanStartDate),"")</f>
        <v>53053</v>
      </c>
      <c r="D312" s="7">
        <f>IF(PaymentSchedule3[[#This Row],[PMT NO]]&lt;&gt;"",IF(ROW()-ROW(PaymentSchedule3[[#Headers],[BEGINNING BALANCE]])=1,LoanAmount,INDEX([ENDING BALANCE],ROW()-ROW(PaymentSchedule3[[#Headers],[BEGINNING BALANCE]])-1)),"")</f>
        <v>87470.423263758756</v>
      </c>
      <c r="E312" s="7">
        <f>IF(PaymentSchedule3[[#This Row],[PMT NO]]&lt;&gt;"",ScheduledPayment,"")</f>
        <v>1491.0635231826082</v>
      </c>
      <c r="F31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2" s="7">
        <f>IF(PaymentSchedule3[[#This Row],[PMT NO]]&lt;&gt;"",PaymentSchedule3[[#This Row],[TOTAL PAYMENT]]-PaymentSchedule3[[#This Row],[INTEREST]],"")</f>
        <v>1214.0738495140388</v>
      </c>
      <c r="I312" s="7">
        <f>IF(PaymentSchedule3[[#This Row],[PMT NO]]&lt;&gt;"",PaymentSchedule3[[#This Row],[BEGINNING BALANCE]]*(InterestRate/PaymentsPerYear),"")</f>
        <v>276.98967366856937</v>
      </c>
      <c r="J312" s="7">
        <f>IF(PaymentSchedule3[[#This Row],[PMT NO]]&lt;&gt;"",IF(PaymentSchedule3[[#This Row],[SCHEDULED PAYMENT]]+PaymentSchedule3[[#This Row],[EXTRA PAYMENT]]&lt;=PaymentSchedule3[[#This Row],[BEGINNING BALANCE]],PaymentSchedule3[[#This Row],[BEGINNING BALANCE]]-PaymentSchedule3[[#This Row],[PRINCIPAL]],0),"")</f>
        <v>86256.349414244716</v>
      </c>
      <c r="K312" s="7">
        <f>IF(PaymentSchedule3[[#This Row],[PMT NO]]&lt;&gt;"",SUM(INDEX([INTEREST],1,1):PaymentSchedule3[[#This Row],[INTEREST]]),"")</f>
        <v>207611.15227629678</v>
      </c>
    </row>
    <row r="313" spans="2:11">
      <c r="B313" s="4">
        <f>IF(LoanIsGood,IF(ROW()-ROW(PaymentSchedule3[[#Headers],[PMT NO]])&gt;ScheduledNumberOfPayments,"",ROW()-ROW(PaymentSchedule3[[#Headers],[PMT NO]])),"")</f>
        <v>297</v>
      </c>
      <c r="C313" s="5">
        <f>IF(PaymentSchedule3[[#This Row],[PMT NO]]&lt;&gt;"",EOMONTH(LoanStartDate,ROW(PaymentSchedule3[[#This Row],[PMT NO]])-ROW(PaymentSchedule3[[#Headers],[PMT NO]])-2)+DAY(LoanStartDate),"")</f>
        <v>53083</v>
      </c>
      <c r="D313" s="7">
        <f>IF(PaymentSchedule3[[#This Row],[PMT NO]]&lt;&gt;"",IF(ROW()-ROW(PaymentSchedule3[[#Headers],[BEGINNING BALANCE]])=1,LoanAmount,INDEX([ENDING BALANCE],ROW()-ROW(PaymentSchedule3[[#Headers],[BEGINNING BALANCE]])-1)),"")</f>
        <v>86256.349414244716</v>
      </c>
      <c r="E313" s="7">
        <f>IF(PaymentSchedule3[[#This Row],[PMT NO]]&lt;&gt;"",ScheduledPayment,"")</f>
        <v>1491.0635231826082</v>
      </c>
      <c r="F31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3" s="7">
        <f>IF(PaymentSchedule3[[#This Row],[PMT NO]]&lt;&gt;"",PaymentSchedule3[[#This Row],[TOTAL PAYMENT]]-PaymentSchedule3[[#This Row],[INTEREST]],"")</f>
        <v>1217.9184167041665</v>
      </c>
      <c r="I313" s="7">
        <f>IF(PaymentSchedule3[[#This Row],[PMT NO]]&lt;&gt;"",PaymentSchedule3[[#This Row],[BEGINNING BALANCE]]*(InterestRate/PaymentsPerYear),"")</f>
        <v>273.14510647844162</v>
      </c>
      <c r="J313" s="7">
        <f>IF(PaymentSchedule3[[#This Row],[PMT NO]]&lt;&gt;"",IF(PaymentSchedule3[[#This Row],[SCHEDULED PAYMENT]]+PaymentSchedule3[[#This Row],[EXTRA PAYMENT]]&lt;=PaymentSchedule3[[#This Row],[BEGINNING BALANCE]],PaymentSchedule3[[#This Row],[BEGINNING BALANCE]]-PaymentSchedule3[[#This Row],[PRINCIPAL]],0),"")</f>
        <v>85038.430997540549</v>
      </c>
      <c r="K313" s="7">
        <f>IF(PaymentSchedule3[[#This Row],[PMT NO]]&lt;&gt;"",SUM(INDEX([INTEREST],1,1):PaymentSchedule3[[#This Row],[INTEREST]]),"")</f>
        <v>207884.29738277523</v>
      </c>
    </row>
    <row r="314" spans="2:11">
      <c r="B314" s="4">
        <f>IF(LoanIsGood,IF(ROW()-ROW(PaymentSchedule3[[#Headers],[PMT NO]])&gt;ScheduledNumberOfPayments,"",ROW()-ROW(PaymentSchedule3[[#Headers],[PMT NO]])),"")</f>
        <v>298</v>
      </c>
      <c r="C314" s="5">
        <f>IF(PaymentSchedule3[[#This Row],[PMT NO]]&lt;&gt;"",EOMONTH(LoanStartDate,ROW(PaymentSchedule3[[#This Row],[PMT NO]])-ROW(PaymentSchedule3[[#Headers],[PMT NO]])-2)+DAY(LoanStartDate),"")</f>
        <v>53114</v>
      </c>
      <c r="D314" s="7">
        <f>IF(PaymentSchedule3[[#This Row],[PMT NO]]&lt;&gt;"",IF(ROW()-ROW(PaymentSchedule3[[#Headers],[BEGINNING BALANCE]])=1,LoanAmount,INDEX([ENDING BALANCE],ROW()-ROW(PaymentSchedule3[[#Headers],[BEGINNING BALANCE]])-1)),"")</f>
        <v>85038.430997540549</v>
      </c>
      <c r="E314" s="7">
        <f>IF(PaymentSchedule3[[#This Row],[PMT NO]]&lt;&gt;"",ScheduledPayment,"")</f>
        <v>1491.0635231826082</v>
      </c>
      <c r="F31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4" s="7">
        <f>IF(PaymentSchedule3[[#This Row],[PMT NO]]&lt;&gt;"",PaymentSchedule3[[#This Row],[TOTAL PAYMENT]]-PaymentSchedule3[[#This Row],[INTEREST]],"")</f>
        <v>1221.775158357063</v>
      </c>
      <c r="I314" s="7">
        <f>IF(PaymentSchedule3[[#This Row],[PMT NO]]&lt;&gt;"",PaymentSchedule3[[#This Row],[BEGINNING BALANCE]]*(InterestRate/PaymentsPerYear),"")</f>
        <v>269.28836482554505</v>
      </c>
      <c r="J314" s="7">
        <f>IF(PaymentSchedule3[[#This Row],[PMT NO]]&lt;&gt;"",IF(PaymentSchedule3[[#This Row],[SCHEDULED PAYMENT]]+PaymentSchedule3[[#This Row],[EXTRA PAYMENT]]&lt;=PaymentSchedule3[[#This Row],[BEGINNING BALANCE]],PaymentSchedule3[[#This Row],[BEGINNING BALANCE]]-PaymentSchedule3[[#This Row],[PRINCIPAL]],0),"")</f>
        <v>83816.655839183484</v>
      </c>
      <c r="K314" s="7">
        <f>IF(PaymentSchedule3[[#This Row],[PMT NO]]&lt;&gt;"",SUM(INDEX([INTEREST],1,1):PaymentSchedule3[[#This Row],[INTEREST]]),"")</f>
        <v>208153.58574760077</v>
      </c>
    </row>
    <row r="315" spans="2:11">
      <c r="B315" s="4">
        <f>IF(LoanIsGood,IF(ROW()-ROW(PaymentSchedule3[[#Headers],[PMT NO]])&gt;ScheduledNumberOfPayments,"",ROW()-ROW(PaymentSchedule3[[#Headers],[PMT NO]])),"")</f>
        <v>299</v>
      </c>
      <c r="C315" s="5">
        <f>IF(PaymentSchedule3[[#This Row],[PMT NO]]&lt;&gt;"",EOMONTH(LoanStartDate,ROW(PaymentSchedule3[[#This Row],[PMT NO]])-ROW(PaymentSchedule3[[#Headers],[PMT NO]])-2)+DAY(LoanStartDate),"")</f>
        <v>53144</v>
      </c>
      <c r="D315" s="7">
        <f>IF(PaymentSchedule3[[#This Row],[PMT NO]]&lt;&gt;"",IF(ROW()-ROW(PaymentSchedule3[[#Headers],[BEGINNING BALANCE]])=1,LoanAmount,INDEX([ENDING BALANCE],ROW()-ROW(PaymentSchedule3[[#Headers],[BEGINNING BALANCE]])-1)),"")</f>
        <v>83816.655839183484</v>
      </c>
      <c r="E315" s="7">
        <f>IF(PaymentSchedule3[[#This Row],[PMT NO]]&lt;&gt;"",ScheduledPayment,"")</f>
        <v>1491.0635231826082</v>
      </c>
      <c r="F31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5" s="7">
        <f>IF(PaymentSchedule3[[#This Row],[PMT NO]]&lt;&gt;"",PaymentSchedule3[[#This Row],[TOTAL PAYMENT]]-PaymentSchedule3[[#This Row],[INTEREST]],"")</f>
        <v>1225.6441130251937</v>
      </c>
      <c r="I315" s="7">
        <f>IF(PaymentSchedule3[[#This Row],[PMT NO]]&lt;&gt;"",PaymentSchedule3[[#This Row],[BEGINNING BALANCE]]*(InterestRate/PaymentsPerYear),"")</f>
        <v>265.41941015741435</v>
      </c>
      <c r="J315" s="7">
        <f>IF(PaymentSchedule3[[#This Row],[PMT NO]]&lt;&gt;"",IF(PaymentSchedule3[[#This Row],[SCHEDULED PAYMENT]]+PaymentSchedule3[[#This Row],[EXTRA PAYMENT]]&lt;=PaymentSchedule3[[#This Row],[BEGINNING BALANCE]],PaymentSchedule3[[#This Row],[BEGINNING BALANCE]]-PaymentSchedule3[[#This Row],[PRINCIPAL]],0),"")</f>
        <v>82591.011726158293</v>
      </c>
      <c r="K315" s="7">
        <f>IF(PaymentSchedule3[[#This Row],[PMT NO]]&lt;&gt;"",SUM(INDEX([INTEREST],1,1):PaymentSchedule3[[#This Row],[INTEREST]]),"")</f>
        <v>208419.00515775819</v>
      </c>
    </row>
    <row r="316" spans="2:11">
      <c r="B316" s="4">
        <f>IF(LoanIsGood,IF(ROW()-ROW(PaymentSchedule3[[#Headers],[PMT NO]])&gt;ScheduledNumberOfPayments,"",ROW()-ROW(PaymentSchedule3[[#Headers],[PMT NO]])),"")</f>
        <v>300</v>
      </c>
      <c r="C316" s="5">
        <f>IF(PaymentSchedule3[[#This Row],[PMT NO]]&lt;&gt;"",EOMONTH(LoanStartDate,ROW(PaymentSchedule3[[#This Row],[PMT NO]])-ROW(PaymentSchedule3[[#Headers],[PMT NO]])-2)+DAY(LoanStartDate),"")</f>
        <v>53175</v>
      </c>
      <c r="D316" s="7">
        <f>IF(PaymentSchedule3[[#This Row],[PMT NO]]&lt;&gt;"",IF(ROW()-ROW(PaymentSchedule3[[#Headers],[BEGINNING BALANCE]])=1,LoanAmount,INDEX([ENDING BALANCE],ROW()-ROW(PaymentSchedule3[[#Headers],[BEGINNING BALANCE]])-1)),"")</f>
        <v>82591.011726158293</v>
      </c>
      <c r="E316" s="7">
        <f>IF(PaymentSchedule3[[#This Row],[PMT NO]]&lt;&gt;"",ScheduledPayment,"")</f>
        <v>1491.0635231826082</v>
      </c>
      <c r="F31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6" s="7">
        <f>IF(PaymentSchedule3[[#This Row],[PMT NO]]&lt;&gt;"",PaymentSchedule3[[#This Row],[TOTAL PAYMENT]]-PaymentSchedule3[[#This Row],[INTEREST]],"")</f>
        <v>1229.5253193831068</v>
      </c>
      <c r="I316" s="7">
        <f>IF(PaymentSchedule3[[#This Row],[PMT NO]]&lt;&gt;"",PaymentSchedule3[[#This Row],[BEGINNING BALANCE]]*(InterestRate/PaymentsPerYear),"")</f>
        <v>261.53820379950128</v>
      </c>
      <c r="J316" s="7">
        <f>IF(PaymentSchedule3[[#This Row],[PMT NO]]&lt;&gt;"",IF(PaymentSchedule3[[#This Row],[SCHEDULED PAYMENT]]+PaymentSchedule3[[#This Row],[EXTRA PAYMENT]]&lt;=PaymentSchedule3[[#This Row],[BEGINNING BALANCE]],PaymentSchedule3[[#This Row],[BEGINNING BALANCE]]-PaymentSchedule3[[#This Row],[PRINCIPAL]],0),"")</f>
        <v>81361.486406775191</v>
      </c>
      <c r="K316" s="7">
        <f>IF(PaymentSchedule3[[#This Row],[PMT NO]]&lt;&gt;"",SUM(INDEX([INTEREST],1,1):PaymentSchedule3[[#This Row],[INTEREST]]),"")</f>
        <v>208680.54336155771</v>
      </c>
    </row>
    <row r="317" spans="2:11">
      <c r="B317" s="4">
        <f>IF(LoanIsGood,IF(ROW()-ROW(PaymentSchedule3[[#Headers],[PMT NO]])&gt;ScheduledNumberOfPayments,"",ROW()-ROW(PaymentSchedule3[[#Headers],[PMT NO]])),"")</f>
        <v>301</v>
      </c>
      <c r="C317" s="5">
        <f>IF(PaymentSchedule3[[#This Row],[PMT NO]]&lt;&gt;"",EOMONTH(LoanStartDate,ROW(PaymentSchedule3[[#This Row],[PMT NO]])-ROW(PaymentSchedule3[[#Headers],[PMT NO]])-2)+DAY(LoanStartDate),"")</f>
        <v>53206</v>
      </c>
      <c r="D317" s="7">
        <f>IF(PaymentSchedule3[[#This Row],[PMT NO]]&lt;&gt;"",IF(ROW()-ROW(PaymentSchedule3[[#Headers],[BEGINNING BALANCE]])=1,LoanAmount,INDEX([ENDING BALANCE],ROW()-ROW(PaymentSchedule3[[#Headers],[BEGINNING BALANCE]])-1)),"")</f>
        <v>81361.486406775191</v>
      </c>
      <c r="E317" s="7">
        <f>IF(PaymentSchedule3[[#This Row],[PMT NO]]&lt;&gt;"",ScheduledPayment,"")</f>
        <v>1491.0635231826082</v>
      </c>
      <c r="F31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7" s="7">
        <f>IF(PaymentSchedule3[[#This Row],[PMT NO]]&lt;&gt;"",PaymentSchedule3[[#This Row],[TOTAL PAYMENT]]-PaymentSchedule3[[#This Row],[INTEREST]],"")</f>
        <v>1233.4188162278201</v>
      </c>
      <c r="I317" s="7">
        <f>IF(PaymentSchedule3[[#This Row],[PMT NO]]&lt;&gt;"",PaymentSchedule3[[#This Row],[BEGINNING BALANCE]]*(InterestRate/PaymentsPerYear),"")</f>
        <v>257.64470695478809</v>
      </c>
      <c r="J317" s="7">
        <f>IF(PaymentSchedule3[[#This Row],[PMT NO]]&lt;&gt;"",IF(PaymentSchedule3[[#This Row],[SCHEDULED PAYMENT]]+PaymentSchedule3[[#This Row],[EXTRA PAYMENT]]&lt;=PaymentSchedule3[[#This Row],[BEGINNING BALANCE]],PaymentSchedule3[[#This Row],[BEGINNING BALANCE]]-PaymentSchedule3[[#This Row],[PRINCIPAL]],0),"")</f>
        <v>80128.067590547376</v>
      </c>
      <c r="K317" s="7">
        <f>IF(PaymentSchedule3[[#This Row],[PMT NO]]&lt;&gt;"",SUM(INDEX([INTEREST],1,1):PaymentSchedule3[[#This Row],[INTEREST]]),"")</f>
        <v>208938.18806851251</v>
      </c>
    </row>
    <row r="318" spans="2:11">
      <c r="B318" s="4">
        <f>IF(LoanIsGood,IF(ROW()-ROW(PaymentSchedule3[[#Headers],[PMT NO]])&gt;ScheduledNumberOfPayments,"",ROW()-ROW(PaymentSchedule3[[#Headers],[PMT NO]])),"")</f>
        <v>302</v>
      </c>
      <c r="C318" s="5">
        <f>IF(PaymentSchedule3[[#This Row],[PMT NO]]&lt;&gt;"",EOMONTH(LoanStartDate,ROW(PaymentSchedule3[[#This Row],[PMT NO]])-ROW(PaymentSchedule3[[#Headers],[PMT NO]])-2)+DAY(LoanStartDate),"")</f>
        <v>53236</v>
      </c>
      <c r="D318" s="7">
        <f>IF(PaymentSchedule3[[#This Row],[PMT NO]]&lt;&gt;"",IF(ROW()-ROW(PaymentSchedule3[[#Headers],[BEGINNING BALANCE]])=1,LoanAmount,INDEX([ENDING BALANCE],ROW()-ROW(PaymentSchedule3[[#Headers],[BEGINNING BALANCE]])-1)),"")</f>
        <v>80128.067590547376</v>
      </c>
      <c r="E318" s="7">
        <f>IF(PaymentSchedule3[[#This Row],[PMT NO]]&lt;&gt;"",ScheduledPayment,"")</f>
        <v>1491.0635231826082</v>
      </c>
      <c r="F31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8" s="7">
        <f>IF(PaymentSchedule3[[#This Row],[PMT NO]]&lt;&gt;"",PaymentSchedule3[[#This Row],[TOTAL PAYMENT]]-PaymentSchedule3[[#This Row],[INTEREST]],"")</f>
        <v>1237.3246424792083</v>
      </c>
      <c r="I318" s="7">
        <f>IF(PaymentSchedule3[[#This Row],[PMT NO]]&lt;&gt;"",PaymentSchedule3[[#This Row],[BEGINNING BALANCE]]*(InterestRate/PaymentsPerYear),"")</f>
        <v>253.73888070340001</v>
      </c>
      <c r="J318" s="7">
        <f>IF(PaymentSchedule3[[#This Row],[PMT NO]]&lt;&gt;"",IF(PaymentSchedule3[[#This Row],[SCHEDULED PAYMENT]]+PaymentSchedule3[[#This Row],[EXTRA PAYMENT]]&lt;=PaymentSchedule3[[#This Row],[BEGINNING BALANCE]],PaymentSchedule3[[#This Row],[BEGINNING BALANCE]]-PaymentSchedule3[[#This Row],[PRINCIPAL]],0),"")</f>
        <v>78890.742948068175</v>
      </c>
      <c r="K318" s="7">
        <f>IF(PaymentSchedule3[[#This Row],[PMT NO]]&lt;&gt;"",SUM(INDEX([INTEREST],1,1):PaymentSchedule3[[#This Row],[INTEREST]]),"")</f>
        <v>209191.92694921591</v>
      </c>
    </row>
    <row r="319" spans="2:11">
      <c r="B319" s="4">
        <f>IF(LoanIsGood,IF(ROW()-ROW(PaymentSchedule3[[#Headers],[PMT NO]])&gt;ScheduledNumberOfPayments,"",ROW()-ROW(PaymentSchedule3[[#Headers],[PMT NO]])),"")</f>
        <v>303</v>
      </c>
      <c r="C319" s="5">
        <f>IF(PaymentSchedule3[[#This Row],[PMT NO]]&lt;&gt;"",EOMONTH(LoanStartDate,ROW(PaymentSchedule3[[#This Row],[PMT NO]])-ROW(PaymentSchedule3[[#Headers],[PMT NO]])-2)+DAY(LoanStartDate),"")</f>
        <v>53267</v>
      </c>
      <c r="D319" s="7">
        <f>IF(PaymentSchedule3[[#This Row],[PMT NO]]&lt;&gt;"",IF(ROW()-ROW(PaymentSchedule3[[#Headers],[BEGINNING BALANCE]])=1,LoanAmount,INDEX([ENDING BALANCE],ROW()-ROW(PaymentSchedule3[[#Headers],[BEGINNING BALANCE]])-1)),"")</f>
        <v>78890.742948068175</v>
      </c>
      <c r="E319" s="7">
        <f>IF(PaymentSchedule3[[#This Row],[PMT NO]]&lt;&gt;"",ScheduledPayment,"")</f>
        <v>1491.0635231826082</v>
      </c>
      <c r="F31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19" s="7">
        <f>IF(PaymentSchedule3[[#This Row],[PMT NO]]&lt;&gt;"",PaymentSchedule3[[#This Row],[TOTAL PAYMENT]]-PaymentSchedule3[[#This Row],[INTEREST]],"")</f>
        <v>1241.2428371803921</v>
      </c>
      <c r="I319" s="7">
        <f>IF(PaymentSchedule3[[#This Row],[PMT NO]]&lt;&gt;"",PaymentSchedule3[[#This Row],[BEGINNING BALANCE]]*(InterestRate/PaymentsPerYear),"")</f>
        <v>249.82068600221589</v>
      </c>
      <c r="J319" s="7">
        <f>IF(PaymentSchedule3[[#This Row],[PMT NO]]&lt;&gt;"",IF(PaymentSchedule3[[#This Row],[SCHEDULED PAYMENT]]+PaymentSchedule3[[#This Row],[EXTRA PAYMENT]]&lt;=PaymentSchedule3[[#This Row],[BEGINNING BALANCE]],PaymentSchedule3[[#This Row],[BEGINNING BALANCE]]-PaymentSchedule3[[#This Row],[PRINCIPAL]],0),"")</f>
        <v>77649.500110887777</v>
      </c>
      <c r="K319" s="7">
        <f>IF(PaymentSchedule3[[#This Row],[PMT NO]]&lt;&gt;"",SUM(INDEX([INTEREST],1,1):PaymentSchedule3[[#This Row],[INTEREST]]),"")</f>
        <v>209441.74763521811</v>
      </c>
    </row>
    <row r="320" spans="2:11">
      <c r="B320" s="4">
        <f>IF(LoanIsGood,IF(ROW()-ROW(PaymentSchedule3[[#Headers],[PMT NO]])&gt;ScheduledNumberOfPayments,"",ROW()-ROW(PaymentSchedule3[[#Headers],[PMT NO]])),"")</f>
        <v>304</v>
      </c>
      <c r="C320" s="5">
        <f>IF(PaymentSchedule3[[#This Row],[PMT NO]]&lt;&gt;"",EOMONTH(LoanStartDate,ROW(PaymentSchedule3[[#This Row],[PMT NO]])-ROW(PaymentSchedule3[[#Headers],[PMT NO]])-2)+DAY(LoanStartDate),"")</f>
        <v>53297</v>
      </c>
      <c r="D320" s="7">
        <f>IF(PaymentSchedule3[[#This Row],[PMT NO]]&lt;&gt;"",IF(ROW()-ROW(PaymentSchedule3[[#Headers],[BEGINNING BALANCE]])=1,LoanAmount,INDEX([ENDING BALANCE],ROW()-ROW(PaymentSchedule3[[#Headers],[BEGINNING BALANCE]])-1)),"")</f>
        <v>77649.500110887777</v>
      </c>
      <c r="E320" s="7">
        <f>IF(PaymentSchedule3[[#This Row],[PMT NO]]&lt;&gt;"",ScheduledPayment,"")</f>
        <v>1491.0635231826082</v>
      </c>
      <c r="F32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0" s="7">
        <f>IF(PaymentSchedule3[[#This Row],[PMT NO]]&lt;&gt;"",PaymentSchedule3[[#This Row],[TOTAL PAYMENT]]-PaymentSchedule3[[#This Row],[INTEREST]],"")</f>
        <v>1245.1734394981302</v>
      </c>
      <c r="I320" s="7">
        <f>IF(PaymentSchedule3[[#This Row],[PMT NO]]&lt;&gt;"",PaymentSchedule3[[#This Row],[BEGINNING BALANCE]]*(InterestRate/PaymentsPerYear),"")</f>
        <v>245.89008368447796</v>
      </c>
      <c r="J320" s="7">
        <f>IF(PaymentSchedule3[[#This Row],[PMT NO]]&lt;&gt;"",IF(PaymentSchedule3[[#This Row],[SCHEDULED PAYMENT]]+PaymentSchedule3[[#This Row],[EXTRA PAYMENT]]&lt;=PaymentSchedule3[[#This Row],[BEGINNING BALANCE]],PaymentSchedule3[[#This Row],[BEGINNING BALANCE]]-PaymentSchedule3[[#This Row],[PRINCIPAL]],0),"")</f>
        <v>76404.326671389645</v>
      </c>
      <c r="K320" s="7">
        <f>IF(PaymentSchedule3[[#This Row],[PMT NO]]&lt;&gt;"",SUM(INDEX([INTEREST],1,1):PaymentSchedule3[[#This Row],[INTEREST]]),"")</f>
        <v>209687.63771890258</v>
      </c>
    </row>
    <row r="321" spans="2:11">
      <c r="B321" s="4">
        <f>IF(LoanIsGood,IF(ROW()-ROW(PaymentSchedule3[[#Headers],[PMT NO]])&gt;ScheduledNumberOfPayments,"",ROW()-ROW(PaymentSchedule3[[#Headers],[PMT NO]])),"")</f>
        <v>305</v>
      </c>
      <c r="C321" s="5">
        <f>IF(PaymentSchedule3[[#This Row],[PMT NO]]&lt;&gt;"",EOMONTH(LoanStartDate,ROW(PaymentSchedule3[[#This Row],[PMT NO]])-ROW(PaymentSchedule3[[#Headers],[PMT NO]])-2)+DAY(LoanStartDate),"")</f>
        <v>53328</v>
      </c>
      <c r="D321" s="7">
        <f>IF(PaymentSchedule3[[#This Row],[PMT NO]]&lt;&gt;"",IF(ROW()-ROW(PaymentSchedule3[[#Headers],[BEGINNING BALANCE]])=1,LoanAmount,INDEX([ENDING BALANCE],ROW()-ROW(PaymentSchedule3[[#Headers],[BEGINNING BALANCE]])-1)),"")</f>
        <v>76404.326671389645</v>
      </c>
      <c r="E321" s="7">
        <f>IF(PaymentSchedule3[[#This Row],[PMT NO]]&lt;&gt;"",ScheduledPayment,"")</f>
        <v>1491.0635231826082</v>
      </c>
      <c r="F32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1" s="7">
        <f>IF(PaymentSchedule3[[#This Row],[PMT NO]]&lt;&gt;"",PaymentSchedule3[[#This Row],[TOTAL PAYMENT]]-PaymentSchedule3[[#This Row],[INTEREST]],"")</f>
        <v>1249.1164887232076</v>
      </c>
      <c r="I321" s="7">
        <f>IF(PaymentSchedule3[[#This Row],[PMT NO]]&lt;&gt;"",PaymentSchedule3[[#This Row],[BEGINNING BALANCE]]*(InterestRate/PaymentsPerYear),"")</f>
        <v>241.94703445940053</v>
      </c>
      <c r="J321" s="7">
        <f>IF(PaymentSchedule3[[#This Row],[PMT NO]]&lt;&gt;"",IF(PaymentSchedule3[[#This Row],[SCHEDULED PAYMENT]]+PaymentSchedule3[[#This Row],[EXTRA PAYMENT]]&lt;=PaymentSchedule3[[#This Row],[BEGINNING BALANCE]],PaymentSchedule3[[#This Row],[BEGINNING BALANCE]]-PaymentSchedule3[[#This Row],[PRINCIPAL]],0),"")</f>
        <v>75155.210182666444</v>
      </c>
      <c r="K321" s="7">
        <f>IF(PaymentSchedule3[[#This Row],[PMT NO]]&lt;&gt;"",SUM(INDEX([INTEREST],1,1):PaymentSchedule3[[#This Row],[INTEREST]]),"")</f>
        <v>209929.58475336197</v>
      </c>
    </row>
    <row r="322" spans="2:11">
      <c r="B322" s="4">
        <f>IF(LoanIsGood,IF(ROW()-ROW(PaymentSchedule3[[#Headers],[PMT NO]])&gt;ScheduledNumberOfPayments,"",ROW()-ROW(PaymentSchedule3[[#Headers],[PMT NO]])),"")</f>
        <v>306</v>
      </c>
      <c r="C322" s="5">
        <f>IF(PaymentSchedule3[[#This Row],[PMT NO]]&lt;&gt;"",EOMONTH(LoanStartDate,ROW(PaymentSchedule3[[#This Row],[PMT NO]])-ROW(PaymentSchedule3[[#Headers],[PMT NO]])-2)+DAY(LoanStartDate),"")</f>
        <v>53359</v>
      </c>
      <c r="D322" s="7">
        <f>IF(PaymentSchedule3[[#This Row],[PMT NO]]&lt;&gt;"",IF(ROW()-ROW(PaymentSchedule3[[#Headers],[BEGINNING BALANCE]])=1,LoanAmount,INDEX([ENDING BALANCE],ROW()-ROW(PaymentSchedule3[[#Headers],[BEGINNING BALANCE]])-1)),"")</f>
        <v>75155.210182666444</v>
      </c>
      <c r="E322" s="7">
        <f>IF(PaymentSchedule3[[#This Row],[PMT NO]]&lt;&gt;"",ScheduledPayment,"")</f>
        <v>1491.0635231826082</v>
      </c>
      <c r="F32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2" s="7">
        <f>IF(PaymentSchedule3[[#This Row],[PMT NO]]&lt;&gt;"",PaymentSchedule3[[#This Row],[TOTAL PAYMENT]]-PaymentSchedule3[[#This Row],[INTEREST]],"")</f>
        <v>1253.0720242708312</v>
      </c>
      <c r="I322" s="7">
        <f>IF(PaymentSchedule3[[#This Row],[PMT NO]]&lt;&gt;"",PaymentSchedule3[[#This Row],[BEGINNING BALANCE]]*(InterestRate/PaymentsPerYear),"")</f>
        <v>237.99149891177706</v>
      </c>
      <c r="J322" s="7">
        <f>IF(PaymentSchedule3[[#This Row],[PMT NO]]&lt;&gt;"",IF(PaymentSchedule3[[#This Row],[SCHEDULED PAYMENT]]+PaymentSchedule3[[#This Row],[EXTRA PAYMENT]]&lt;=PaymentSchedule3[[#This Row],[BEGINNING BALANCE]],PaymentSchedule3[[#This Row],[BEGINNING BALANCE]]-PaymentSchedule3[[#This Row],[PRINCIPAL]],0),"")</f>
        <v>73902.13815839561</v>
      </c>
      <c r="K322" s="7">
        <f>IF(PaymentSchedule3[[#This Row],[PMT NO]]&lt;&gt;"",SUM(INDEX([INTEREST],1,1):PaymentSchedule3[[#This Row],[INTEREST]]),"")</f>
        <v>210167.57625227375</v>
      </c>
    </row>
    <row r="323" spans="2:11">
      <c r="B323" s="4">
        <f>IF(LoanIsGood,IF(ROW()-ROW(PaymentSchedule3[[#Headers],[PMT NO]])&gt;ScheduledNumberOfPayments,"",ROW()-ROW(PaymentSchedule3[[#Headers],[PMT NO]])),"")</f>
        <v>307</v>
      </c>
      <c r="C323" s="5">
        <f>IF(PaymentSchedule3[[#This Row],[PMT NO]]&lt;&gt;"",EOMONTH(LoanStartDate,ROW(PaymentSchedule3[[#This Row],[PMT NO]])-ROW(PaymentSchedule3[[#Headers],[PMT NO]])-2)+DAY(LoanStartDate),"")</f>
        <v>53387</v>
      </c>
      <c r="D323" s="7">
        <f>IF(PaymentSchedule3[[#This Row],[PMT NO]]&lt;&gt;"",IF(ROW()-ROW(PaymentSchedule3[[#Headers],[BEGINNING BALANCE]])=1,LoanAmount,INDEX([ENDING BALANCE],ROW()-ROW(PaymentSchedule3[[#Headers],[BEGINNING BALANCE]])-1)),"")</f>
        <v>73902.13815839561</v>
      </c>
      <c r="E323" s="7">
        <f>IF(PaymentSchedule3[[#This Row],[PMT NO]]&lt;&gt;"",ScheduledPayment,"")</f>
        <v>1491.0635231826082</v>
      </c>
      <c r="F32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3" s="7">
        <f>IF(PaymentSchedule3[[#This Row],[PMT NO]]&lt;&gt;"",PaymentSchedule3[[#This Row],[TOTAL PAYMENT]]-PaymentSchedule3[[#This Row],[INTEREST]],"")</f>
        <v>1257.040085681022</v>
      </c>
      <c r="I323" s="7">
        <f>IF(PaymentSchedule3[[#This Row],[PMT NO]]&lt;&gt;"",PaymentSchedule3[[#This Row],[BEGINNING BALANCE]]*(InterestRate/PaymentsPerYear),"")</f>
        <v>234.0234375015861</v>
      </c>
      <c r="J323" s="7">
        <f>IF(PaymentSchedule3[[#This Row],[PMT NO]]&lt;&gt;"",IF(PaymentSchedule3[[#This Row],[SCHEDULED PAYMENT]]+PaymentSchedule3[[#This Row],[EXTRA PAYMENT]]&lt;=PaymentSchedule3[[#This Row],[BEGINNING BALANCE]],PaymentSchedule3[[#This Row],[BEGINNING BALANCE]]-PaymentSchedule3[[#This Row],[PRINCIPAL]],0),"")</f>
        <v>72645.098072714594</v>
      </c>
      <c r="K323" s="7">
        <f>IF(PaymentSchedule3[[#This Row],[PMT NO]]&lt;&gt;"",SUM(INDEX([INTEREST],1,1):PaymentSchedule3[[#This Row],[INTEREST]]),"")</f>
        <v>210401.59968977532</v>
      </c>
    </row>
    <row r="324" spans="2:11">
      <c r="B324" s="4">
        <f>IF(LoanIsGood,IF(ROW()-ROW(PaymentSchedule3[[#Headers],[PMT NO]])&gt;ScheduledNumberOfPayments,"",ROW()-ROW(PaymentSchedule3[[#Headers],[PMT NO]])),"")</f>
        <v>308</v>
      </c>
      <c r="C324" s="5">
        <f>IF(PaymentSchedule3[[#This Row],[PMT NO]]&lt;&gt;"",EOMONTH(LoanStartDate,ROW(PaymentSchedule3[[#This Row],[PMT NO]])-ROW(PaymentSchedule3[[#Headers],[PMT NO]])-2)+DAY(LoanStartDate),"")</f>
        <v>53418</v>
      </c>
      <c r="D324" s="7">
        <f>IF(PaymentSchedule3[[#This Row],[PMT NO]]&lt;&gt;"",IF(ROW()-ROW(PaymentSchedule3[[#Headers],[BEGINNING BALANCE]])=1,LoanAmount,INDEX([ENDING BALANCE],ROW()-ROW(PaymentSchedule3[[#Headers],[BEGINNING BALANCE]])-1)),"")</f>
        <v>72645.098072714594</v>
      </c>
      <c r="E324" s="7">
        <f>IF(PaymentSchedule3[[#This Row],[PMT NO]]&lt;&gt;"",ScheduledPayment,"")</f>
        <v>1491.0635231826082</v>
      </c>
      <c r="F32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4" s="7">
        <f>IF(PaymentSchedule3[[#This Row],[PMT NO]]&lt;&gt;"",PaymentSchedule3[[#This Row],[TOTAL PAYMENT]]-PaymentSchedule3[[#This Row],[INTEREST]],"")</f>
        <v>1261.0207126190119</v>
      </c>
      <c r="I324" s="7">
        <f>IF(PaymentSchedule3[[#This Row],[PMT NO]]&lt;&gt;"",PaymentSchedule3[[#This Row],[BEGINNING BALANCE]]*(InterestRate/PaymentsPerYear),"")</f>
        <v>230.04281056359622</v>
      </c>
      <c r="J324" s="7">
        <f>IF(PaymentSchedule3[[#This Row],[PMT NO]]&lt;&gt;"",IF(PaymentSchedule3[[#This Row],[SCHEDULED PAYMENT]]+PaymentSchedule3[[#This Row],[EXTRA PAYMENT]]&lt;=PaymentSchedule3[[#This Row],[BEGINNING BALANCE]],PaymentSchedule3[[#This Row],[BEGINNING BALANCE]]-PaymentSchedule3[[#This Row],[PRINCIPAL]],0),"")</f>
        <v>71384.077360095587</v>
      </c>
      <c r="K324" s="7">
        <f>IF(PaymentSchedule3[[#This Row],[PMT NO]]&lt;&gt;"",SUM(INDEX([INTEREST],1,1):PaymentSchedule3[[#This Row],[INTEREST]]),"")</f>
        <v>210631.64250033893</v>
      </c>
    </row>
    <row r="325" spans="2:11">
      <c r="B325" s="4">
        <f>IF(LoanIsGood,IF(ROW()-ROW(PaymentSchedule3[[#Headers],[PMT NO]])&gt;ScheduledNumberOfPayments,"",ROW()-ROW(PaymentSchedule3[[#Headers],[PMT NO]])),"")</f>
        <v>309</v>
      </c>
      <c r="C325" s="5">
        <f>IF(PaymentSchedule3[[#This Row],[PMT NO]]&lt;&gt;"",EOMONTH(LoanStartDate,ROW(PaymentSchedule3[[#This Row],[PMT NO]])-ROW(PaymentSchedule3[[#Headers],[PMT NO]])-2)+DAY(LoanStartDate),"")</f>
        <v>53448</v>
      </c>
      <c r="D325" s="7">
        <f>IF(PaymentSchedule3[[#This Row],[PMT NO]]&lt;&gt;"",IF(ROW()-ROW(PaymentSchedule3[[#Headers],[BEGINNING BALANCE]])=1,LoanAmount,INDEX([ENDING BALANCE],ROW()-ROW(PaymentSchedule3[[#Headers],[BEGINNING BALANCE]])-1)),"")</f>
        <v>71384.077360095587</v>
      </c>
      <c r="E325" s="7">
        <f>IF(PaymentSchedule3[[#This Row],[PMT NO]]&lt;&gt;"",ScheduledPayment,"")</f>
        <v>1491.0635231826082</v>
      </c>
      <c r="F32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5" s="7">
        <f>IF(PaymentSchedule3[[#This Row],[PMT NO]]&lt;&gt;"",PaymentSchedule3[[#This Row],[TOTAL PAYMENT]]-PaymentSchedule3[[#This Row],[INTEREST]],"")</f>
        <v>1265.0139448756388</v>
      </c>
      <c r="I325" s="7">
        <f>IF(PaymentSchedule3[[#This Row],[PMT NO]]&lt;&gt;"",PaymentSchedule3[[#This Row],[BEGINNING BALANCE]]*(InterestRate/PaymentsPerYear),"")</f>
        <v>226.04957830696935</v>
      </c>
      <c r="J325" s="7">
        <f>IF(PaymentSchedule3[[#This Row],[PMT NO]]&lt;&gt;"",IF(PaymentSchedule3[[#This Row],[SCHEDULED PAYMENT]]+PaymentSchedule3[[#This Row],[EXTRA PAYMENT]]&lt;=PaymentSchedule3[[#This Row],[BEGINNING BALANCE]],PaymentSchedule3[[#This Row],[BEGINNING BALANCE]]-PaymentSchedule3[[#This Row],[PRINCIPAL]],0),"")</f>
        <v>70119.063415219949</v>
      </c>
      <c r="K325" s="7">
        <f>IF(PaymentSchedule3[[#This Row],[PMT NO]]&lt;&gt;"",SUM(INDEX([INTEREST],1,1):PaymentSchedule3[[#This Row],[INTEREST]]),"")</f>
        <v>210857.69207864589</v>
      </c>
    </row>
    <row r="326" spans="2:11">
      <c r="B326" s="4">
        <f>IF(LoanIsGood,IF(ROW()-ROW(PaymentSchedule3[[#Headers],[PMT NO]])&gt;ScheduledNumberOfPayments,"",ROW()-ROW(PaymentSchedule3[[#Headers],[PMT NO]])),"")</f>
        <v>310</v>
      </c>
      <c r="C326" s="5">
        <f>IF(PaymentSchedule3[[#This Row],[PMT NO]]&lt;&gt;"",EOMONTH(LoanStartDate,ROW(PaymentSchedule3[[#This Row],[PMT NO]])-ROW(PaymentSchedule3[[#Headers],[PMT NO]])-2)+DAY(LoanStartDate),"")</f>
        <v>53479</v>
      </c>
      <c r="D326" s="7">
        <f>IF(PaymentSchedule3[[#This Row],[PMT NO]]&lt;&gt;"",IF(ROW()-ROW(PaymentSchedule3[[#Headers],[BEGINNING BALANCE]])=1,LoanAmount,INDEX([ENDING BALANCE],ROW()-ROW(PaymentSchedule3[[#Headers],[BEGINNING BALANCE]])-1)),"")</f>
        <v>70119.063415219949</v>
      </c>
      <c r="E326" s="7">
        <f>IF(PaymentSchedule3[[#This Row],[PMT NO]]&lt;&gt;"",ScheduledPayment,"")</f>
        <v>1491.0635231826082</v>
      </c>
      <c r="F32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6" s="7">
        <f>IF(PaymentSchedule3[[#This Row],[PMT NO]]&lt;&gt;"",PaymentSchedule3[[#This Row],[TOTAL PAYMENT]]-PaymentSchedule3[[#This Row],[INTEREST]],"")</f>
        <v>1269.0198223677451</v>
      </c>
      <c r="I326" s="7">
        <f>IF(PaymentSchedule3[[#This Row],[PMT NO]]&lt;&gt;"",PaymentSchedule3[[#This Row],[BEGINNING BALANCE]]*(InterestRate/PaymentsPerYear),"")</f>
        <v>222.04370081486317</v>
      </c>
      <c r="J326" s="7">
        <f>IF(PaymentSchedule3[[#This Row],[PMT NO]]&lt;&gt;"",IF(PaymentSchedule3[[#This Row],[SCHEDULED PAYMENT]]+PaymentSchedule3[[#This Row],[EXTRA PAYMENT]]&lt;=PaymentSchedule3[[#This Row],[BEGINNING BALANCE]],PaymentSchedule3[[#This Row],[BEGINNING BALANCE]]-PaymentSchedule3[[#This Row],[PRINCIPAL]],0),"")</f>
        <v>68850.043592852206</v>
      </c>
      <c r="K326" s="7">
        <f>IF(PaymentSchedule3[[#This Row],[PMT NO]]&lt;&gt;"",SUM(INDEX([INTEREST],1,1):PaymentSchedule3[[#This Row],[INTEREST]]),"")</f>
        <v>211079.73577946075</v>
      </c>
    </row>
    <row r="327" spans="2:11">
      <c r="B327" s="4">
        <f>IF(LoanIsGood,IF(ROW()-ROW(PaymentSchedule3[[#Headers],[PMT NO]])&gt;ScheduledNumberOfPayments,"",ROW()-ROW(PaymentSchedule3[[#Headers],[PMT NO]])),"")</f>
        <v>311</v>
      </c>
      <c r="C327" s="5">
        <f>IF(PaymentSchedule3[[#This Row],[PMT NO]]&lt;&gt;"",EOMONTH(LoanStartDate,ROW(PaymentSchedule3[[#This Row],[PMT NO]])-ROW(PaymentSchedule3[[#Headers],[PMT NO]])-2)+DAY(LoanStartDate),"")</f>
        <v>53509</v>
      </c>
      <c r="D327" s="7">
        <f>IF(PaymentSchedule3[[#This Row],[PMT NO]]&lt;&gt;"",IF(ROW()-ROW(PaymentSchedule3[[#Headers],[BEGINNING BALANCE]])=1,LoanAmount,INDEX([ENDING BALANCE],ROW()-ROW(PaymentSchedule3[[#Headers],[BEGINNING BALANCE]])-1)),"")</f>
        <v>68850.043592852206</v>
      </c>
      <c r="E327" s="7">
        <f>IF(PaymentSchedule3[[#This Row],[PMT NO]]&lt;&gt;"",ScheduledPayment,"")</f>
        <v>1491.0635231826082</v>
      </c>
      <c r="F32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7" s="7">
        <f>IF(PaymentSchedule3[[#This Row],[PMT NO]]&lt;&gt;"",PaymentSchedule3[[#This Row],[TOTAL PAYMENT]]-PaymentSchedule3[[#This Row],[INTEREST]],"")</f>
        <v>1273.0383851385761</v>
      </c>
      <c r="I327" s="7">
        <f>IF(PaymentSchedule3[[#This Row],[PMT NO]]&lt;&gt;"",PaymentSchedule3[[#This Row],[BEGINNING BALANCE]]*(InterestRate/PaymentsPerYear),"")</f>
        <v>218.02513804403199</v>
      </c>
      <c r="J327" s="7">
        <f>IF(PaymentSchedule3[[#This Row],[PMT NO]]&lt;&gt;"",IF(PaymentSchedule3[[#This Row],[SCHEDULED PAYMENT]]+PaymentSchedule3[[#This Row],[EXTRA PAYMENT]]&lt;=PaymentSchedule3[[#This Row],[BEGINNING BALANCE]],PaymentSchedule3[[#This Row],[BEGINNING BALANCE]]-PaymentSchedule3[[#This Row],[PRINCIPAL]],0),"")</f>
        <v>67577.005207713635</v>
      </c>
      <c r="K327" s="7">
        <f>IF(PaymentSchedule3[[#This Row],[PMT NO]]&lt;&gt;"",SUM(INDEX([INTEREST],1,1):PaymentSchedule3[[#This Row],[INTEREST]]),"")</f>
        <v>211297.76091750478</v>
      </c>
    </row>
    <row r="328" spans="2:11">
      <c r="B328" s="4">
        <f>IF(LoanIsGood,IF(ROW()-ROW(PaymentSchedule3[[#Headers],[PMT NO]])&gt;ScheduledNumberOfPayments,"",ROW()-ROW(PaymentSchedule3[[#Headers],[PMT NO]])),"")</f>
        <v>312</v>
      </c>
      <c r="C328" s="5">
        <f>IF(PaymentSchedule3[[#This Row],[PMT NO]]&lt;&gt;"",EOMONTH(LoanStartDate,ROW(PaymentSchedule3[[#This Row],[PMT NO]])-ROW(PaymentSchedule3[[#Headers],[PMT NO]])-2)+DAY(LoanStartDate),"")</f>
        <v>53540</v>
      </c>
      <c r="D328" s="7">
        <f>IF(PaymentSchedule3[[#This Row],[PMT NO]]&lt;&gt;"",IF(ROW()-ROW(PaymentSchedule3[[#Headers],[BEGINNING BALANCE]])=1,LoanAmount,INDEX([ENDING BALANCE],ROW()-ROW(PaymentSchedule3[[#Headers],[BEGINNING BALANCE]])-1)),"")</f>
        <v>67577.005207713635</v>
      </c>
      <c r="E328" s="7">
        <f>IF(PaymentSchedule3[[#This Row],[PMT NO]]&lt;&gt;"",ScheduledPayment,"")</f>
        <v>1491.0635231826082</v>
      </c>
      <c r="F32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8" s="7">
        <f>IF(PaymentSchedule3[[#This Row],[PMT NO]]&lt;&gt;"",PaymentSchedule3[[#This Row],[TOTAL PAYMENT]]-PaymentSchedule3[[#This Row],[INTEREST]],"")</f>
        <v>1277.0696733581817</v>
      </c>
      <c r="I328" s="7">
        <f>IF(PaymentSchedule3[[#This Row],[PMT NO]]&lt;&gt;"",PaymentSchedule3[[#This Row],[BEGINNING BALANCE]]*(InterestRate/PaymentsPerYear),"")</f>
        <v>213.99384982442652</v>
      </c>
      <c r="J328" s="7">
        <f>IF(PaymentSchedule3[[#This Row],[PMT NO]]&lt;&gt;"",IF(PaymentSchedule3[[#This Row],[SCHEDULED PAYMENT]]+PaymentSchedule3[[#This Row],[EXTRA PAYMENT]]&lt;=PaymentSchedule3[[#This Row],[BEGINNING BALANCE]],PaymentSchedule3[[#This Row],[BEGINNING BALANCE]]-PaymentSchedule3[[#This Row],[PRINCIPAL]],0),"")</f>
        <v>66299.935534355449</v>
      </c>
      <c r="K328" s="7">
        <f>IF(PaymentSchedule3[[#This Row],[PMT NO]]&lt;&gt;"",SUM(INDEX([INTEREST],1,1):PaymentSchedule3[[#This Row],[INTEREST]]),"")</f>
        <v>211511.7547673292</v>
      </c>
    </row>
    <row r="329" spans="2:11">
      <c r="B329" s="4">
        <f>IF(LoanIsGood,IF(ROW()-ROW(PaymentSchedule3[[#Headers],[PMT NO]])&gt;ScheduledNumberOfPayments,"",ROW()-ROW(PaymentSchedule3[[#Headers],[PMT NO]])),"")</f>
        <v>313</v>
      </c>
      <c r="C329" s="5">
        <f>IF(PaymentSchedule3[[#This Row],[PMT NO]]&lt;&gt;"",EOMONTH(LoanStartDate,ROW(PaymentSchedule3[[#This Row],[PMT NO]])-ROW(PaymentSchedule3[[#Headers],[PMT NO]])-2)+DAY(LoanStartDate),"")</f>
        <v>53571</v>
      </c>
      <c r="D329" s="7">
        <f>IF(PaymentSchedule3[[#This Row],[PMT NO]]&lt;&gt;"",IF(ROW()-ROW(PaymentSchedule3[[#Headers],[BEGINNING BALANCE]])=1,LoanAmount,INDEX([ENDING BALANCE],ROW()-ROW(PaymentSchedule3[[#Headers],[BEGINNING BALANCE]])-1)),"")</f>
        <v>66299.935534355449</v>
      </c>
      <c r="E329" s="7">
        <f>IF(PaymentSchedule3[[#This Row],[PMT NO]]&lt;&gt;"",ScheduledPayment,"")</f>
        <v>1491.0635231826082</v>
      </c>
      <c r="F32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29" s="7">
        <f>IF(PaymentSchedule3[[#This Row],[PMT NO]]&lt;&gt;"",PaymentSchedule3[[#This Row],[TOTAL PAYMENT]]-PaymentSchedule3[[#This Row],[INTEREST]],"")</f>
        <v>1281.113727323816</v>
      </c>
      <c r="I329" s="7">
        <f>IF(PaymentSchedule3[[#This Row],[PMT NO]]&lt;&gt;"",PaymentSchedule3[[#This Row],[BEGINNING BALANCE]]*(InterestRate/PaymentsPerYear),"")</f>
        <v>209.94979585879224</v>
      </c>
      <c r="J329" s="7">
        <f>IF(PaymentSchedule3[[#This Row],[PMT NO]]&lt;&gt;"",IF(PaymentSchedule3[[#This Row],[SCHEDULED PAYMENT]]+PaymentSchedule3[[#This Row],[EXTRA PAYMENT]]&lt;=PaymentSchedule3[[#This Row],[BEGINNING BALANCE]],PaymentSchedule3[[#This Row],[BEGINNING BALANCE]]-PaymentSchedule3[[#This Row],[PRINCIPAL]],0),"")</f>
        <v>65018.821807031636</v>
      </c>
      <c r="K329" s="7">
        <f>IF(PaymentSchedule3[[#This Row],[PMT NO]]&lt;&gt;"",SUM(INDEX([INTEREST],1,1):PaymentSchedule3[[#This Row],[INTEREST]]),"")</f>
        <v>211721.70456318799</v>
      </c>
    </row>
    <row r="330" spans="2:11">
      <c r="B330" s="4">
        <f>IF(LoanIsGood,IF(ROW()-ROW(PaymentSchedule3[[#Headers],[PMT NO]])&gt;ScheduledNumberOfPayments,"",ROW()-ROW(PaymentSchedule3[[#Headers],[PMT NO]])),"")</f>
        <v>314</v>
      </c>
      <c r="C330" s="5">
        <f>IF(PaymentSchedule3[[#This Row],[PMT NO]]&lt;&gt;"",EOMONTH(LoanStartDate,ROW(PaymentSchedule3[[#This Row],[PMT NO]])-ROW(PaymentSchedule3[[#Headers],[PMT NO]])-2)+DAY(LoanStartDate),"")</f>
        <v>53601</v>
      </c>
      <c r="D330" s="7">
        <f>IF(PaymentSchedule3[[#This Row],[PMT NO]]&lt;&gt;"",IF(ROW()-ROW(PaymentSchedule3[[#Headers],[BEGINNING BALANCE]])=1,LoanAmount,INDEX([ENDING BALANCE],ROW()-ROW(PaymentSchedule3[[#Headers],[BEGINNING BALANCE]])-1)),"")</f>
        <v>65018.821807031636</v>
      </c>
      <c r="E330" s="7">
        <f>IF(PaymentSchedule3[[#This Row],[PMT NO]]&lt;&gt;"",ScheduledPayment,"")</f>
        <v>1491.0635231826082</v>
      </c>
      <c r="F33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0" s="7">
        <f>IF(PaymentSchedule3[[#This Row],[PMT NO]]&lt;&gt;"",PaymentSchedule3[[#This Row],[TOTAL PAYMENT]]-PaymentSchedule3[[#This Row],[INTEREST]],"")</f>
        <v>1285.1705874603413</v>
      </c>
      <c r="I330" s="7">
        <f>IF(PaymentSchedule3[[#This Row],[PMT NO]]&lt;&gt;"",PaymentSchedule3[[#This Row],[BEGINNING BALANCE]]*(InterestRate/PaymentsPerYear),"")</f>
        <v>205.89293572226686</v>
      </c>
      <c r="J330" s="7">
        <f>IF(PaymentSchedule3[[#This Row],[PMT NO]]&lt;&gt;"",IF(PaymentSchedule3[[#This Row],[SCHEDULED PAYMENT]]+PaymentSchedule3[[#This Row],[EXTRA PAYMENT]]&lt;=PaymentSchedule3[[#This Row],[BEGINNING BALANCE]],PaymentSchedule3[[#This Row],[BEGINNING BALANCE]]-PaymentSchedule3[[#This Row],[PRINCIPAL]],0),"")</f>
        <v>63733.651219571293</v>
      </c>
      <c r="K330" s="7">
        <f>IF(PaymentSchedule3[[#This Row],[PMT NO]]&lt;&gt;"",SUM(INDEX([INTEREST],1,1):PaymentSchedule3[[#This Row],[INTEREST]]),"")</f>
        <v>211927.59749891027</v>
      </c>
    </row>
    <row r="331" spans="2:11">
      <c r="B331" s="4">
        <f>IF(LoanIsGood,IF(ROW()-ROW(PaymentSchedule3[[#Headers],[PMT NO]])&gt;ScheduledNumberOfPayments,"",ROW()-ROW(PaymentSchedule3[[#Headers],[PMT NO]])),"")</f>
        <v>315</v>
      </c>
      <c r="C331" s="5">
        <f>IF(PaymentSchedule3[[#This Row],[PMT NO]]&lt;&gt;"",EOMONTH(LoanStartDate,ROW(PaymentSchedule3[[#This Row],[PMT NO]])-ROW(PaymentSchedule3[[#Headers],[PMT NO]])-2)+DAY(LoanStartDate),"")</f>
        <v>53632</v>
      </c>
      <c r="D331" s="7">
        <f>IF(PaymentSchedule3[[#This Row],[PMT NO]]&lt;&gt;"",IF(ROW()-ROW(PaymentSchedule3[[#Headers],[BEGINNING BALANCE]])=1,LoanAmount,INDEX([ENDING BALANCE],ROW()-ROW(PaymentSchedule3[[#Headers],[BEGINNING BALANCE]])-1)),"")</f>
        <v>63733.651219571293</v>
      </c>
      <c r="E331" s="7">
        <f>IF(PaymentSchedule3[[#This Row],[PMT NO]]&lt;&gt;"",ScheduledPayment,"")</f>
        <v>1491.0635231826082</v>
      </c>
      <c r="F33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1" s="7">
        <f>IF(PaymentSchedule3[[#This Row],[PMT NO]]&lt;&gt;"",PaymentSchedule3[[#This Row],[TOTAL PAYMENT]]-PaymentSchedule3[[#This Row],[INTEREST]],"")</f>
        <v>1289.2402943206323</v>
      </c>
      <c r="I331" s="7">
        <f>IF(PaymentSchedule3[[#This Row],[PMT NO]]&lt;&gt;"",PaymentSchedule3[[#This Row],[BEGINNING BALANCE]]*(InterestRate/PaymentsPerYear),"")</f>
        <v>201.82322886197576</v>
      </c>
      <c r="J331" s="7">
        <f>IF(PaymentSchedule3[[#This Row],[PMT NO]]&lt;&gt;"",IF(PaymentSchedule3[[#This Row],[SCHEDULED PAYMENT]]+PaymentSchedule3[[#This Row],[EXTRA PAYMENT]]&lt;=PaymentSchedule3[[#This Row],[BEGINNING BALANCE]],PaymentSchedule3[[#This Row],[BEGINNING BALANCE]]-PaymentSchedule3[[#This Row],[PRINCIPAL]],0),"")</f>
        <v>62444.410925250661</v>
      </c>
      <c r="K331" s="7">
        <f>IF(PaymentSchedule3[[#This Row],[PMT NO]]&lt;&gt;"",SUM(INDEX([INTEREST],1,1):PaymentSchedule3[[#This Row],[INTEREST]]),"")</f>
        <v>212129.42072777223</v>
      </c>
    </row>
    <row r="332" spans="2:11">
      <c r="B332" s="4">
        <f>IF(LoanIsGood,IF(ROW()-ROW(PaymentSchedule3[[#Headers],[PMT NO]])&gt;ScheduledNumberOfPayments,"",ROW()-ROW(PaymentSchedule3[[#Headers],[PMT NO]])),"")</f>
        <v>316</v>
      </c>
      <c r="C332" s="5">
        <f>IF(PaymentSchedule3[[#This Row],[PMT NO]]&lt;&gt;"",EOMONTH(LoanStartDate,ROW(PaymentSchedule3[[#This Row],[PMT NO]])-ROW(PaymentSchedule3[[#Headers],[PMT NO]])-2)+DAY(LoanStartDate),"")</f>
        <v>53662</v>
      </c>
      <c r="D332" s="7">
        <f>IF(PaymentSchedule3[[#This Row],[PMT NO]]&lt;&gt;"",IF(ROW()-ROW(PaymentSchedule3[[#Headers],[BEGINNING BALANCE]])=1,LoanAmount,INDEX([ENDING BALANCE],ROW()-ROW(PaymentSchedule3[[#Headers],[BEGINNING BALANCE]])-1)),"")</f>
        <v>62444.410925250661</v>
      </c>
      <c r="E332" s="7">
        <f>IF(PaymentSchedule3[[#This Row],[PMT NO]]&lt;&gt;"",ScheduledPayment,"")</f>
        <v>1491.0635231826082</v>
      </c>
      <c r="F33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2" s="7">
        <f>IF(PaymentSchedule3[[#This Row],[PMT NO]]&lt;&gt;"",PaymentSchedule3[[#This Row],[TOTAL PAYMENT]]-PaymentSchedule3[[#This Row],[INTEREST]],"")</f>
        <v>1293.322888585981</v>
      </c>
      <c r="I332" s="7">
        <f>IF(PaymentSchedule3[[#This Row],[PMT NO]]&lt;&gt;"",PaymentSchedule3[[#This Row],[BEGINNING BALANCE]]*(InterestRate/PaymentsPerYear),"")</f>
        <v>197.74063459662707</v>
      </c>
      <c r="J332" s="7">
        <f>IF(PaymentSchedule3[[#This Row],[PMT NO]]&lt;&gt;"",IF(PaymentSchedule3[[#This Row],[SCHEDULED PAYMENT]]+PaymentSchedule3[[#This Row],[EXTRA PAYMENT]]&lt;=PaymentSchedule3[[#This Row],[BEGINNING BALANCE]],PaymentSchedule3[[#This Row],[BEGINNING BALANCE]]-PaymentSchedule3[[#This Row],[PRINCIPAL]],0),"")</f>
        <v>61151.088036664682</v>
      </c>
      <c r="K332" s="7">
        <f>IF(PaymentSchedule3[[#This Row],[PMT NO]]&lt;&gt;"",SUM(INDEX([INTEREST],1,1):PaymentSchedule3[[#This Row],[INTEREST]]),"")</f>
        <v>212327.16136236885</v>
      </c>
    </row>
    <row r="333" spans="2:11">
      <c r="B333" s="4">
        <f>IF(LoanIsGood,IF(ROW()-ROW(PaymentSchedule3[[#Headers],[PMT NO]])&gt;ScheduledNumberOfPayments,"",ROW()-ROW(PaymentSchedule3[[#Headers],[PMT NO]])),"")</f>
        <v>317</v>
      </c>
      <c r="C333" s="5">
        <f>IF(PaymentSchedule3[[#This Row],[PMT NO]]&lt;&gt;"",EOMONTH(LoanStartDate,ROW(PaymentSchedule3[[#This Row],[PMT NO]])-ROW(PaymentSchedule3[[#Headers],[PMT NO]])-2)+DAY(LoanStartDate),"")</f>
        <v>53693</v>
      </c>
      <c r="D333" s="7">
        <f>IF(PaymentSchedule3[[#This Row],[PMT NO]]&lt;&gt;"",IF(ROW()-ROW(PaymentSchedule3[[#Headers],[BEGINNING BALANCE]])=1,LoanAmount,INDEX([ENDING BALANCE],ROW()-ROW(PaymentSchedule3[[#Headers],[BEGINNING BALANCE]])-1)),"")</f>
        <v>61151.088036664682</v>
      </c>
      <c r="E333" s="7">
        <f>IF(PaymentSchedule3[[#This Row],[PMT NO]]&lt;&gt;"",ScheduledPayment,"")</f>
        <v>1491.0635231826082</v>
      </c>
      <c r="F33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3" s="7">
        <f>IF(PaymentSchedule3[[#This Row],[PMT NO]]&lt;&gt;"",PaymentSchedule3[[#This Row],[TOTAL PAYMENT]]-PaymentSchedule3[[#This Row],[INTEREST]],"")</f>
        <v>1297.4184110665033</v>
      </c>
      <c r="I333" s="7">
        <f>IF(PaymentSchedule3[[#This Row],[PMT NO]]&lt;&gt;"",PaymentSchedule3[[#This Row],[BEGINNING BALANCE]]*(InterestRate/PaymentsPerYear),"")</f>
        <v>193.64511211610483</v>
      </c>
      <c r="J333" s="7">
        <f>IF(PaymentSchedule3[[#This Row],[PMT NO]]&lt;&gt;"",IF(PaymentSchedule3[[#This Row],[SCHEDULED PAYMENT]]+PaymentSchedule3[[#This Row],[EXTRA PAYMENT]]&lt;=PaymentSchedule3[[#This Row],[BEGINNING BALANCE]],PaymentSchedule3[[#This Row],[BEGINNING BALANCE]]-PaymentSchedule3[[#This Row],[PRINCIPAL]],0),"")</f>
        <v>59853.669625598181</v>
      </c>
      <c r="K333" s="7">
        <f>IF(PaymentSchedule3[[#This Row],[PMT NO]]&lt;&gt;"",SUM(INDEX([INTEREST],1,1):PaymentSchedule3[[#This Row],[INTEREST]]),"")</f>
        <v>212520.80647448494</v>
      </c>
    </row>
    <row r="334" spans="2:11">
      <c r="B334" s="4">
        <f>IF(LoanIsGood,IF(ROW()-ROW(PaymentSchedule3[[#Headers],[PMT NO]])&gt;ScheduledNumberOfPayments,"",ROW()-ROW(PaymentSchedule3[[#Headers],[PMT NO]])),"")</f>
        <v>318</v>
      </c>
      <c r="C334" s="5">
        <f>IF(PaymentSchedule3[[#This Row],[PMT NO]]&lt;&gt;"",EOMONTH(LoanStartDate,ROW(PaymentSchedule3[[#This Row],[PMT NO]])-ROW(PaymentSchedule3[[#Headers],[PMT NO]])-2)+DAY(LoanStartDate),"")</f>
        <v>53724</v>
      </c>
      <c r="D334" s="7">
        <f>IF(PaymentSchedule3[[#This Row],[PMT NO]]&lt;&gt;"",IF(ROW()-ROW(PaymentSchedule3[[#Headers],[BEGINNING BALANCE]])=1,LoanAmount,INDEX([ENDING BALANCE],ROW()-ROW(PaymentSchedule3[[#Headers],[BEGINNING BALANCE]])-1)),"")</f>
        <v>59853.669625598181</v>
      </c>
      <c r="E334" s="7">
        <f>IF(PaymentSchedule3[[#This Row],[PMT NO]]&lt;&gt;"",ScheduledPayment,"")</f>
        <v>1491.0635231826082</v>
      </c>
      <c r="F33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4" s="7">
        <f>IF(PaymentSchedule3[[#This Row],[PMT NO]]&lt;&gt;"",PaymentSchedule3[[#This Row],[TOTAL PAYMENT]]-PaymentSchedule3[[#This Row],[INTEREST]],"")</f>
        <v>1301.5269027015472</v>
      </c>
      <c r="I334" s="7">
        <f>IF(PaymentSchedule3[[#This Row],[PMT NO]]&lt;&gt;"",PaymentSchedule3[[#This Row],[BEGINNING BALANCE]]*(InterestRate/PaymentsPerYear),"")</f>
        <v>189.53662048106091</v>
      </c>
      <c r="J334" s="7">
        <f>IF(PaymentSchedule3[[#This Row],[PMT NO]]&lt;&gt;"",IF(PaymentSchedule3[[#This Row],[SCHEDULED PAYMENT]]+PaymentSchedule3[[#This Row],[EXTRA PAYMENT]]&lt;=PaymentSchedule3[[#This Row],[BEGINNING BALANCE]],PaymentSchedule3[[#This Row],[BEGINNING BALANCE]]-PaymentSchedule3[[#This Row],[PRINCIPAL]],0),"")</f>
        <v>58552.142722896635</v>
      </c>
      <c r="K334" s="7">
        <f>IF(PaymentSchedule3[[#This Row],[PMT NO]]&lt;&gt;"",SUM(INDEX([INTEREST],1,1):PaymentSchedule3[[#This Row],[INTEREST]]),"")</f>
        <v>212710.343094966</v>
      </c>
    </row>
    <row r="335" spans="2:11">
      <c r="B335" s="4">
        <f>IF(LoanIsGood,IF(ROW()-ROW(PaymentSchedule3[[#Headers],[PMT NO]])&gt;ScheduledNumberOfPayments,"",ROW()-ROW(PaymentSchedule3[[#Headers],[PMT NO]])),"")</f>
        <v>319</v>
      </c>
      <c r="C335" s="5">
        <f>IF(PaymentSchedule3[[#This Row],[PMT NO]]&lt;&gt;"",EOMONTH(LoanStartDate,ROW(PaymentSchedule3[[#This Row],[PMT NO]])-ROW(PaymentSchedule3[[#Headers],[PMT NO]])-2)+DAY(LoanStartDate),"")</f>
        <v>53752</v>
      </c>
      <c r="D335" s="7">
        <f>IF(PaymentSchedule3[[#This Row],[PMT NO]]&lt;&gt;"",IF(ROW()-ROW(PaymentSchedule3[[#Headers],[BEGINNING BALANCE]])=1,LoanAmount,INDEX([ENDING BALANCE],ROW()-ROW(PaymentSchedule3[[#Headers],[BEGINNING BALANCE]])-1)),"")</f>
        <v>58552.142722896635</v>
      </c>
      <c r="E335" s="7">
        <f>IF(PaymentSchedule3[[#This Row],[PMT NO]]&lt;&gt;"",ScheduledPayment,"")</f>
        <v>1491.0635231826082</v>
      </c>
      <c r="F33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5" s="7">
        <f>IF(PaymentSchedule3[[#This Row],[PMT NO]]&lt;&gt;"",PaymentSchedule3[[#This Row],[TOTAL PAYMENT]]-PaymentSchedule3[[#This Row],[INTEREST]],"")</f>
        <v>1305.6484045601021</v>
      </c>
      <c r="I335" s="7">
        <f>IF(PaymentSchedule3[[#This Row],[PMT NO]]&lt;&gt;"",PaymentSchedule3[[#This Row],[BEGINNING BALANCE]]*(InterestRate/PaymentsPerYear),"")</f>
        <v>185.41511862250601</v>
      </c>
      <c r="J335" s="7">
        <f>IF(PaymentSchedule3[[#This Row],[PMT NO]]&lt;&gt;"",IF(PaymentSchedule3[[#This Row],[SCHEDULED PAYMENT]]+PaymentSchedule3[[#This Row],[EXTRA PAYMENT]]&lt;=PaymentSchedule3[[#This Row],[BEGINNING BALANCE]],PaymentSchedule3[[#This Row],[BEGINNING BALANCE]]-PaymentSchedule3[[#This Row],[PRINCIPAL]],0),"")</f>
        <v>57246.494318336532</v>
      </c>
      <c r="K335" s="7">
        <f>IF(PaymentSchedule3[[#This Row],[PMT NO]]&lt;&gt;"",SUM(INDEX([INTEREST],1,1):PaymentSchedule3[[#This Row],[INTEREST]]),"")</f>
        <v>212895.7582135885</v>
      </c>
    </row>
    <row r="336" spans="2:11">
      <c r="B336" s="4">
        <f>IF(LoanIsGood,IF(ROW()-ROW(PaymentSchedule3[[#Headers],[PMT NO]])&gt;ScheduledNumberOfPayments,"",ROW()-ROW(PaymentSchedule3[[#Headers],[PMT NO]])),"")</f>
        <v>320</v>
      </c>
      <c r="C336" s="5">
        <f>IF(PaymentSchedule3[[#This Row],[PMT NO]]&lt;&gt;"",EOMONTH(LoanStartDate,ROW(PaymentSchedule3[[#This Row],[PMT NO]])-ROW(PaymentSchedule3[[#Headers],[PMT NO]])-2)+DAY(LoanStartDate),"")</f>
        <v>53783</v>
      </c>
      <c r="D336" s="7">
        <f>IF(PaymentSchedule3[[#This Row],[PMT NO]]&lt;&gt;"",IF(ROW()-ROW(PaymentSchedule3[[#Headers],[BEGINNING BALANCE]])=1,LoanAmount,INDEX([ENDING BALANCE],ROW()-ROW(PaymentSchedule3[[#Headers],[BEGINNING BALANCE]])-1)),"")</f>
        <v>57246.494318336532</v>
      </c>
      <c r="E336" s="7">
        <f>IF(PaymentSchedule3[[#This Row],[PMT NO]]&lt;&gt;"",ScheduledPayment,"")</f>
        <v>1491.0635231826082</v>
      </c>
      <c r="F33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6" s="7">
        <f>IF(PaymentSchedule3[[#This Row],[PMT NO]]&lt;&gt;"",PaymentSchedule3[[#This Row],[TOTAL PAYMENT]]-PaymentSchedule3[[#This Row],[INTEREST]],"")</f>
        <v>1309.7829578412091</v>
      </c>
      <c r="I336" s="7">
        <f>IF(PaymentSchedule3[[#This Row],[PMT NO]]&lt;&gt;"",PaymentSchedule3[[#This Row],[BEGINNING BALANCE]]*(InterestRate/PaymentsPerYear),"")</f>
        <v>181.28056534139901</v>
      </c>
      <c r="J336" s="7">
        <f>IF(PaymentSchedule3[[#This Row],[PMT NO]]&lt;&gt;"",IF(PaymentSchedule3[[#This Row],[SCHEDULED PAYMENT]]+PaymentSchedule3[[#This Row],[EXTRA PAYMENT]]&lt;=PaymentSchedule3[[#This Row],[BEGINNING BALANCE]],PaymentSchedule3[[#This Row],[BEGINNING BALANCE]]-PaymentSchedule3[[#This Row],[PRINCIPAL]],0),"")</f>
        <v>55936.711360495327</v>
      </c>
      <c r="K336" s="7">
        <f>IF(PaymentSchedule3[[#This Row],[PMT NO]]&lt;&gt;"",SUM(INDEX([INTEREST],1,1):PaymentSchedule3[[#This Row],[INTEREST]]),"")</f>
        <v>213077.03877892991</v>
      </c>
    </row>
    <row r="337" spans="2:11">
      <c r="B337" s="4">
        <f>IF(LoanIsGood,IF(ROW()-ROW(PaymentSchedule3[[#Headers],[PMT NO]])&gt;ScheduledNumberOfPayments,"",ROW()-ROW(PaymentSchedule3[[#Headers],[PMT NO]])),"")</f>
        <v>321</v>
      </c>
      <c r="C337" s="5">
        <f>IF(PaymentSchedule3[[#This Row],[PMT NO]]&lt;&gt;"",EOMONTH(LoanStartDate,ROW(PaymentSchedule3[[#This Row],[PMT NO]])-ROW(PaymentSchedule3[[#Headers],[PMT NO]])-2)+DAY(LoanStartDate),"")</f>
        <v>53813</v>
      </c>
      <c r="D337" s="7">
        <f>IF(PaymentSchedule3[[#This Row],[PMT NO]]&lt;&gt;"",IF(ROW()-ROW(PaymentSchedule3[[#Headers],[BEGINNING BALANCE]])=1,LoanAmount,INDEX([ENDING BALANCE],ROW()-ROW(PaymentSchedule3[[#Headers],[BEGINNING BALANCE]])-1)),"")</f>
        <v>55936.711360495327</v>
      </c>
      <c r="E337" s="7">
        <f>IF(PaymentSchedule3[[#This Row],[PMT NO]]&lt;&gt;"",ScheduledPayment,"")</f>
        <v>1491.0635231826082</v>
      </c>
      <c r="F33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7" s="7">
        <f>IF(PaymentSchedule3[[#This Row],[PMT NO]]&lt;&gt;"",PaymentSchedule3[[#This Row],[TOTAL PAYMENT]]-PaymentSchedule3[[#This Row],[INTEREST]],"")</f>
        <v>1313.930603874373</v>
      </c>
      <c r="I337" s="7">
        <f>IF(PaymentSchedule3[[#This Row],[PMT NO]]&lt;&gt;"",PaymentSchedule3[[#This Row],[BEGINNING BALANCE]]*(InterestRate/PaymentsPerYear),"")</f>
        <v>177.13291930823519</v>
      </c>
      <c r="J337" s="7">
        <f>IF(PaymentSchedule3[[#This Row],[PMT NO]]&lt;&gt;"",IF(PaymentSchedule3[[#This Row],[SCHEDULED PAYMENT]]+PaymentSchedule3[[#This Row],[EXTRA PAYMENT]]&lt;=PaymentSchedule3[[#This Row],[BEGINNING BALANCE]],PaymentSchedule3[[#This Row],[BEGINNING BALANCE]]-PaymentSchedule3[[#This Row],[PRINCIPAL]],0),"")</f>
        <v>54622.780756620952</v>
      </c>
      <c r="K337" s="7">
        <f>IF(PaymentSchedule3[[#This Row],[PMT NO]]&lt;&gt;"",SUM(INDEX([INTEREST],1,1):PaymentSchedule3[[#This Row],[INTEREST]]),"")</f>
        <v>213254.17169823815</v>
      </c>
    </row>
    <row r="338" spans="2:11">
      <c r="B338" s="4">
        <f>IF(LoanIsGood,IF(ROW()-ROW(PaymentSchedule3[[#Headers],[PMT NO]])&gt;ScheduledNumberOfPayments,"",ROW()-ROW(PaymentSchedule3[[#Headers],[PMT NO]])),"")</f>
        <v>322</v>
      </c>
      <c r="C338" s="5">
        <f>IF(PaymentSchedule3[[#This Row],[PMT NO]]&lt;&gt;"",EOMONTH(LoanStartDate,ROW(PaymentSchedule3[[#This Row],[PMT NO]])-ROW(PaymentSchedule3[[#Headers],[PMT NO]])-2)+DAY(LoanStartDate),"")</f>
        <v>53844</v>
      </c>
      <c r="D338" s="7">
        <f>IF(PaymentSchedule3[[#This Row],[PMT NO]]&lt;&gt;"",IF(ROW()-ROW(PaymentSchedule3[[#Headers],[BEGINNING BALANCE]])=1,LoanAmount,INDEX([ENDING BALANCE],ROW()-ROW(PaymentSchedule3[[#Headers],[BEGINNING BALANCE]])-1)),"")</f>
        <v>54622.780756620952</v>
      </c>
      <c r="E338" s="7">
        <f>IF(PaymentSchedule3[[#This Row],[PMT NO]]&lt;&gt;"",ScheduledPayment,"")</f>
        <v>1491.0635231826082</v>
      </c>
      <c r="F33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8" s="7">
        <f>IF(PaymentSchedule3[[#This Row],[PMT NO]]&lt;&gt;"",PaymentSchedule3[[#This Row],[TOTAL PAYMENT]]-PaymentSchedule3[[#This Row],[INTEREST]],"")</f>
        <v>1318.0913841199751</v>
      </c>
      <c r="I338" s="7">
        <f>IF(PaymentSchedule3[[#This Row],[PMT NO]]&lt;&gt;"",PaymentSchedule3[[#This Row],[BEGINNING BALANCE]]*(InterestRate/PaymentsPerYear),"")</f>
        <v>172.972139062633</v>
      </c>
      <c r="J338" s="7">
        <f>IF(PaymentSchedule3[[#This Row],[PMT NO]]&lt;&gt;"",IF(PaymentSchedule3[[#This Row],[SCHEDULED PAYMENT]]+PaymentSchedule3[[#This Row],[EXTRA PAYMENT]]&lt;=PaymentSchedule3[[#This Row],[BEGINNING BALANCE]],PaymentSchedule3[[#This Row],[BEGINNING BALANCE]]-PaymentSchedule3[[#This Row],[PRINCIPAL]],0),"")</f>
        <v>53304.68937250098</v>
      </c>
      <c r="K338" s="7">
        <f>IF(PaymentSchedule3[[#This Row],[PMT NO]]&lt;&gt;"",SUM(INDEX([INTEREST],1,1):PaymentSchedule3[[#This Row],[INTEREST]]),"")</f>
        <v>213427.14383730077</v>
      </c>
    </row>
    <row r="339" spans="2:11">
      <c r="B339" s="4">
        <f>IF(LoanIsGood,IF(ROW()-ROW(PaymentSchedule3[[#Headers],[PMT NO]])&gt;ScheduledNumberOfPayments,"",ROW()-ROW(PaymentSchedule3[[#Headers],[PMT NO]])),"")</f>
        <v>323</v>
      </c>
      <c r="C339" s="5">
        <f>IF(PaymentSchedule3[[#This Row],[PMT NO]]&lt;&gt;"",EOMONTH(LoanStartDate,ROW(PaymentSchedule3[[#This Row],[PMT NO]])-ROW(PaymentSchedule3[[#Headers],[PMT NO]])-2)+DAY(LoanStartDate),"")</f>
        <v>53874</v>
      </c>
      <c r="D339" s="7">
        <f>IF(PaymentSchedule3[[#This Row],[PMT NO]]&lt;&gt;"",IF(ROW()-ROW(PaymentSchedule3[[#Headers],[BEGINNING BALANCE]])=1,LoanAmount,INDEX([ENDING BALANCE],ROW()-ROW(PaymentSchedule3[[#Headers],[BEGINNING BALANCE]])-1)),"")</f>
        <v>53304.68937250098</v>
      </c>
      <c r="E339" s="7">
        <f>IF(PaymentSchedule3[[#This Row],[PMT NO]]&lt;&gt;"",ScheduledPayment,"")</f>
        <v>1491.0635231826082</v>
      </c>
      <c r="F33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39" s="7">
        <f>IF(PaymentSchedule3[[#This Row],[PMT NO]]&lt;&gt;"",PaymentSchedule3[[#This Row],[TOTAL PAYMENT]]-PaymentSchedule3[[#This Row],[INTEREST]],"")</f>
        <v>1322.2653401696884</v>
      </c>
      <c r="I339" s="7">
        <f>IF(PaymentSchedule3[[#This Row],[PMT NO]]&lt;&gt;"",PaymentSchedule3[[#This Row],[BEGINNING BALANCE]]*(InterestRate/PaymentsPerYear),"")</f>
        <v>168.79818301291976</v>
      </c>
      <c r="J339" s="7">
        <f>IF(PaymentSchedule3[[#This Row],[PMT NO]]&lt;&gt;"",IF(PaymentSchedule3[[#This Row],[SCHEDULED PAYMENT]]+PaymentSchedule3[[#This Row],[EXTRA PAYMENT]]&lt;=PaymentSchedule3[[#This Row],[BEGINNING BALANCE]],PaymentSchedule3[[#This Row],[BEGINNING BALANCE]]-PaymentSchedule3[[#This Row],[PRINCIPAL]],0),"")</f>
        <v>51982.424032331292</v>
      </c>
      <c r="K339" s="7">
        <f>IF(PaymentSchedule3[[#This Row],[PMT NO]]&lt;&gt;"",SUM(INDEX([INTEREST],1,1):PaymentSchedule3[[#This Row],[INTEREST]]),"")</f>
        <v>213595.9420203137</v>
      </c>
    </row>
    <row r="340" spans="2:11">
      <c r="B340" s="4">
        <f>IF(LoanIsGood,IF(ROW()-ROW(PaymentSchedule3[[#Headers],[PMT NO]])&gt;ScheduledNumberOfPayments,"",ROW()-ROW(PaymentSchedule3[[#Headers],[PMT NO]])),"")</f>
        <v>324</v>
      </c>
      <c r="C340" s="5">
        <f>IF(PaymentSchedule3[[#This Row],[PMT NO]]&lt;&gt;"",EOMONTH(LoanStartDate,ROW(PaymentSchedule3[[#This Row],[PMT NO]])-ROW(PaymentSchedule3[[#Headers],[PMT NO]])-2)+DAY(LoanStartDate),"")</f>
        <v>53905</v>
      </c>
      <c r="D340" s="7">
        <f>IF(PaymentSchedule3[[#This Row],[PMT NO]]&lt;&gt;"",IF(ROW()-ROW(PaymentSchedule3[[#Headers],[BEGINNING BALANCE]])=1,LoanAmount,INDEX([ENDING BALANCE],ROW()-ROW(PaymentSchedule3[[#Headers],[BEGINNING BALANCE]])-1)),"")</f>
        <v>51982.424032331292</v>
      </c>
      <c r="E340" s="7">
        <f>IF(PaymentSchedule3[[#This Row],[PMT NO]]&lt;&gt;"",ScheduledPayment,"")</f>
        <v>1491.0635231826082</v>
      </c>
      <c r="F34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0" s="7">
        <f>IF(PaymentSchedule3[[#This Row],[PMT NO]]&lt;&gt;"",PaymentSchedule3[[#This Row],[TOTAL PAYMENT]]-PaymentSchedule3[[#This Row],[INTEREST]],"")</f>
        <v>1326.4525137468925</v>
      </c>
      <c r="I340" s="7">
        <f>IF(PaymentSchedule3[[#This Row],[PMT NO]]&lt;&gt;"",PaymentSchedule3[[#This Row],[BEGINNING BALANCE]]*(InterestRate/PaymentsPerYear),"")</f>
        <v>164.61100943571574</v>
      </c>
      <c r="J340" s="7">
        <f>IF(PaymentSchedule3[[#This Row],[PMT NO]]&lt;&gt;"",IF(PaymentSchedule3[[#This Row],[SCHEDULED PAYMENT]]+PaymentSchedule3[[#This Row],[EXTRA PAYMENT]]&lt;=PaymentSchedule3[[#This Row],[BEGINNING BALANCE]],PaymentSchedule3[[#This Row],[BEGINNING BALANCE]]-PaymentSchedule3[[#This Row],[PRINCIPAL]],0),"")</f>
        <v>50655.971518584396</v>
      </c>
      <c r="K340" s="7">
        <f>IF(PaymentSchedule3[[#This Row],[PMT NO]]&lt;&gt;"",SUM(INDEX([INTEREST],1,1):PaymentSchedule3[[#This Row],[INTEREST]]),"")</f>
        <v>213760.55302974943</v>
      </c>
    </row>
    <row r="341" spans="2:11">
      <c r="B341" s="4">
        <f>IF(LoanIsGood,IF(ROW()-ROW(PaymentSchedule3[[#Headers],[PMT NO]])&gt;ScheduledNumberOfPayments,"",ROW()-ROW(PaymentSchedule3[[#Headers],[PMT NO]])),"")</f>
        <v>325</v>
      </c>
      <c r="C341" s="5">
        <f>IF(PaymentSchedule3[[#This Row],[PMT NO]]&lt;&gt;"",EOMONTH(LoanStartDate,ROW(PaymentSchedule3[[#This Row],[PMT NO]])-ROW(PaymentSchedule3[[#Headers],[PMT NO]])-2)+DAY(LoanStartDate),"")</f>
        <v>53936</v>
      </c>
      <c r="D341" s="7">
        <f>IF(PaymentSchedule3[[#This Row],[PMT NO]]&lt;&gt;"",IF(ROW()-ROW(PaymentSchedule3[[#Headers],[BEGINNING BALANCE]])=1,LoanAmount,INDEX([ENDING BALANCE],ROW()-ROW(PaymentSchedule3[[#Headers],[BEGINNING BALANCE]])-1)),"")</f>
        <v>50655.971518584396</v>
      </c>
      <c r="E341" s="7">
        <f>IF(PaymentSchedule3[[#This Row],[PMT NO]]&lt;&gt;"",ScheduledPayment,"")</f>
        <v>1491.0635231826082</v>
      </c>
      <c r="F34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1" s="7">
        <f>IF(PaymentSchedule3[[#This Row],[PMT NO]]&lt;&gt;"",PaymentSchedule3[[#This Row],[TOTAL PAYMENT]]-PaymentSchedule3[[#This Row],[INTEREST]],"")</f>
        <v>1330.6529467070909</v>
      </c>
      <c r="I341" s="7">
        <f>IF(PaymentSchedule3[[#This Row],[PMT NO]]&lt;&gt;"",PaymentSchedule3[[#This Row],[BEGINNING BALANCE]]*(InterestRate/PaymentsPerYear),"")</f>
        <v>160.41057647551725</v>
      </c>
      <c r="J341" s="7">
        <f>IF(PaymentSchedule3[[#This Row],[PMT NO]]&lt;&gt;"",IF(PaymentSchedule3[[#This Row],[SCHEDULED PAYMENT]]+PaymentSchedule3[[#This Row],[EXTRA PAYMENT]]&lt;=PaymentSchedule3[[#This Row],[BEGINNING BALANCE]],PaymentSchedule3[[#This Row],[BEGINNING BALANCE]]-PaymentSchedule3[[#This Row],[PRINCIPAL]],0),"")</f>
        <v>49325.318571877302</v>
      </c>
      <c r="K341" s="7">
        <f>IF(PaymentSchedule3[[#This Row],[PMT NO]]&lt;&gt;"",SUM(INDEX([INTEREST],1,1):PaymentSchedule3[[#This Row],[INTEREST]]),"")</f>
        <v>213920.96360622495</v>
      </c>
    </row>
    <row r="342" spans="2:11">
      <c r="B342" s="4">
        <f>IF(LoanIsGood,IF(ROW()-ROW(PaymentSchedule3[[#Headers],[PMT NO]])&gt;ScheduledNumberOfPayments,"",ROW()-ROW(PaymentSchedule3[[#Headers],[PMT NO]])),"")</f>
        <v>326</v>
      </c>
      <c r="C342" s="5">
        <f>IF(PaymentSchedule3[[#This Row],[PMT NO]]&lt;&gt;"",EOMONTH(LoanStartDate,ROW(PaymentSchedule3[[#This Row],[PMT NO]])-ROW(PaymentSchedule3[[#Headers],[PMT NO]])-2)+DAY(LoanStartDate),"")</f>
        <v>53966</v>
      </c>
      <c r="D342" s="7">
        <f>IF(PaymentSchedule3[[#This Row],[PMT NO]]&lt;&gt;"",IF(ROW()-ROW(PaymentSchedule3[[#Headers],[BEGINNING BALANCE]])=1,LoanAmount,INDEX([ENDING BALANCE],ROW()-ROW(PaymentSchedule3[[#Headers],[BEGINNING BALANCE]])-1)),"")</f>
        <v>49325.318571877302</v>
      </c>
      <c r="E342" s="7">
        <f>IF(PaymentSchedule3[[#This Row],[PMT NO]]&lt;&gt;"",ScheduledPayment,"")</f>
        <v>1491.0635231826082</v>
      </c>
      <c r="F34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2" s="7">
        <f>IF(PaymentSchedule3[[#This Row],[PMT NO]]&lt;&gt;"",PaymentSchedule3[[#This Row],[TOTAL PAYMENT]]-PaymentSchedule3[[#This Row],[INTEREST]],"")</f>
        <v>1334.8666810383299</v>
      </c>
      <c r="I342" s="7">
        <f>IF(PaymentSchedule3[[#This Row],[PMT NO]]&lt;&gt;"",PaymentSchedule3[[#This Row],[BEGINNING BALANCE]]*(InterestRate/PaymentsPerYear),"")</f>
        <v>156.19684214427812</v>
      </c>
      <c r="J342" s="7">
        <f>IF(PaymentSchedule3[[#This Row],[PMT NO]]&lt;&gt;"",IF(PaymentSchedule3[[#This Row],[SCHEDULED PAYMENT]]+PaymentSchedule3[[#This Row],[EXTRA PAYMENT]]&lt;=PaymentSchedule3[[#This Row],[BEGINNING BALANCE]],PaymentSchedule3[[#This Row],[BEGINNING BALANCE]]-PaymentSchedule3[[#This Row],[PRINCIPAL]],0),"")</f>
        <v>47990.451890838973</v>
      </c>
      <c r="K342" s="7">
        <f>IF(PaymentSchedule3[[#This Row],[PMT NO]]&lt;&gt;"",SUM(INDEX([INTEREST],1,1):PaymentSchedule3[[#This Row],[INTEREST]]),"")</f>
        <v>214077.16044836922</v>
      </c>
    </row>
    <row r="343" spans="2:11">
      <c r="B343" s="4">
        <f>IF(LoanIsGood,IF(ROW()-ROW(PaymentSchedule3[[#Headers],[PMT NO]])&gt;ScheduledNumberOfPayments,"",ROW()-ROW(PaymentSchedule3[[#Headers],[PMT NO]])),"")</f>
        <v>327</v>
      </c>
      <c r="C343" s="5">
        <f>IF(PaymentSchedule3[[#This Row],[PMT NO]]&lt;&gt;"",EOMONTH(LoanStartDate,ROW(PaymentSchedule3[[#This Row],[PMT NO]])-ROW(PaymentSchedule3[[#Headers],[PMT NO]])-2)+DAY(LoanStartDate),"")</f>
        <v>53997</v>
      </c>
      <c r="D343" s="7">
        <f>IF(PaymentSchedule3[[#This Row],[PMT NO]]&lt;&gt;"",IF(ROW()-ROW(PaymentSchedule3[[#Headers],[BEGINNING BALANCE]])=1,LoanAmount,INDEX([ENDING BALANCE],ROW()-ROW(PaymentSchedule3[[#Headers],[BEGINNING BALANCE]])-1)),"")</f>
        <v>47990.451890838973</v>
      </c>
      <c r="E343" s="7">
        <f>IF(PaymentSchedule3[[#This Row],[PMT NO]]&lt;&gt;"",ScheduledPayment,"")</f>
        <v>1491.0635231826082</v>
      </c>
      <c r="F34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3" s="7">
        <f>IF(PaymentSchedule3[[#This Row],[PMT NO]]&lt;&gt;"",PaymentSchedule3[[#This Row],[TOTAL PAYMENT]]-PaymentSchedule3[[#This Row],[INTEREST]],"")</f>
        <v>1339.093758861618</v>
      </c>
      <c r="I343" s="7">
        <f>IF(PaymentSchedule3[[#This Row],[PMT NO]]&lt;&gt;"",PaymentSchedule3[[#This Row],[BEGINNING BALANCE]]*(InterestRate/PaymentsPerYear),"")</f>
        <v>151.96976432099007</v>
      </c>
      <c r="J343" s="7">
        <f>IF(PaymentSchedule3[[#This Row],[PMT NO]]&lt;&gt;"",IF(PaymentSchedule3[[#This Row],[SCHEDULED PAYMENT]]+PaymentSchedule3[[#This Row],[EXTRA PAYMENT]]&lt;=PaymentSchedule3[[#This Row],[BEGINNING BALANCE]],PaymentSchedule3[[#This Row],[BEGINNING BALANCE]]-PaymentSchedule3[[#This Row],[PRINCIPAL]],0),"")</f>
        <v>46651.358131977351</v>
      </c>
      <c r="K343" s="7">
        <f>IF(PaymentSchedule3[[#This Row],[PMT NO]]&lt;&gt;"",SUM(INDEX([INTEREST],1,1):PaymentSchedule3[[#This Row],[INTEREST]]),"")</f>
        <v>214229.13021269022</v>
      </c>
    </row>
    <row r="344" spans="2:11">
      <c r="B344" s="4">
        <f>IF(LoanIsGood,IF(ROW()-ROW(PaymentSchedule3[[#Headers],[PMT NO]])&gt;ScheduledNumberOfPayments,"",ROW()-ROW(PaymentSchedule3[[#Headers],[PMT NO]])),"")</f>
        <v>328</v>
      </c>
      <c r="C344" s="5">
        <f>IF(PaymentSchedule3[[#This Row],[PMT NO]]&lt;&gt;"",EOMONTH(LoanStartDate,ROW(PaymentSchedule3[[#This Row],[PMT NO]])-ROW(PaymentSchedule3[[#Headers],[PMT NO]])-2)+DAY(LoanStartDate),"")</f>
        <v>54027</v>
      </c>
      <c r="D344" s="7">
        <f>IF(PaymentSchedule3[[#This Row],[PMT NO]]&lt;&gt;"",IF(ROW()-ROW(PaymentSchedule3[[#Headers],[BEGINNING BALANCE]])=1,LoanAmount,INDEX([ENDING BALANCE],ROW()-ROW(PaymentSchedule3[[#Headers],[BEGINNING BALANCE]])-1)),"")</f>
        <v>46651.358131977351</v>
      </c>
      <c r="E344" s="7">
        <f>IF(PaymentSchedule3[[#This Row],[PMT NO]]&lt;&gt;"",ScheduledPayment,"")</f>
        <v>1491.0635231826082</v>
      </c>
      <c r="F34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4" s="7">
        <f>IF(PaymentSchedule3[[#This Row],[PMT NO]]&lt;&gt;"",PaymentSchedule3[[#This Row],[TOTAL PAYMENT]]-PaymentSchedule3[[#This Row],[INTEREST]],"")</f>
        <v>1343.3342224313465</v>
      </c>
      <c r="I344" s="7">
        <f>IF(PaymentSchedule3[[#This Row],[PMT NO]]&lt;&gt;"",PaymentSchedule3[[#This Row],[BEGINNING BALANCE]]*(InterestRate/PaymentsPerYear),"")</f>
        <v>147.7293007512616</v>
      </c>
      <c r="J344" s="7">
        <f>IF(PaymentSchedule3[[#This Row],[PMT NO]]&lt;&gt;"",IF(PaymentSchedule3[[#This Row],[SCHEDULED PAYMENT]]+PaymentSchedule3[[#This Row],[EXTRA PAYMENT]]&lt;=PaymentSchedule3[[#This Row],[BEGINNING BALANCE]],PaymentSchedule3[[#This Row],[BEGINNING BALANCE]]-PaymentSchedule3[[#This Row],[PRINCIPAL]],0),"")</f>
        <v>45308.023909546006</v>
      </c>
      <c r="K344" s="7">
        <f>IF(PaymentSchedule3[[#This Row],[PMT NO]]&lt;&gt;"",SUM(INDEX([INTEREST],1,1):PaymentSchedule3[[#This Row],[INTEREST]]),"")</f>
        <v>214376.85951344148</v>
      </c>
    </row>
    <row r="345" spans="2:11">
      <c r="B345" s="4">
        <f>IF(LoanIsGood,IF(ROW()-ROW(PaymentSchedule3[[#Headers],[PMT NO]])&gt;ScheduledNumberOfPayments,"",ROW()-ROW(PaymentSchedule3[[#Headers],[PMT NO]])),"")</f>
        <v>329</v>
      </c>
      <c r="C345" s="5">
        <f>IF(PaymentSchedule3[[#This Row],[PMT NO]]&lt;&gt;"",EOMONTH(LoanStartDate,ROW(PaymentSchedule3[[#This Row],[PMT NO]])-ROW(PaymentSchedule3[[#Headers],[PMT NO]])-2)+DAY(LoanStartDate),"")</f>
        <v>54058</v>
      </c>
      <c r="D345" s="7">
        <f>IF(PaymentSchedule3[[#This Row],[PMT NO]]&lt;&gt;"",IF(ROW()-ROW(PaymentSchedule3[[#Headers],[BEGINNING BALANCE]])=1,LoanAmount,INDEX([ENDING BALANCE],ROW()-ROW(PaymentSchedule3[[#Headers],[BEGINNING BALANCE]])-1)),"")</f>
        <v>45308.023909546006</v>
      </c>
      <c r="E345" s="7">
        <f>IF(PaymentSchedule3[[#This Row],[PMT NO]]&lt;&gt;"",ScheduledPayment,"")</f>
        <v>1491.0635231826082</v>
      </c>
      <c r="F34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5" s="7">
        <f>IF(PaymentSchedule3[[#This Row],[PMT NO]]&lt;&gt;"",PaymentSchedule3[[#This Row],[TOTAL PAYMENT]]-PaymentSchedule3[[#This Row],[INTEREST]],"")</f>
        <v>1347.5881141357124</v>
      </c>
      <c r="I345" s="7">
        <f>IF(PaymentSchedule3[[#This Row],[PMT NO]]&lt;&gt;"",PaymentSchedule3[[#This Row],[BEGINNING BALANCE]]*(InterestRate/PaymentsPerYear),"")</f>
        <v>143.47540904689569</v>
      </c>
      <c r="J345" s="7">
        <f>IF(PaymentSchedule3[[#This Row],[PMT NO]]&lt;&gt;"",IF(PaymentSchedule3[[#This Row],[SCHEDULED PAYMENT]]+PaymentSchedule3[[#This Row],[EXTRA PAYMENT]]&lt;=PaymentSchedule3[[#This Row],[BEGINNING BALANCE]],PaymentSchedule3[[#This Row],[BEGINNING BALANCE]]-PaymentSchedule3[[#This Row],[PRINCIPAL]],0),"")</f>
        <v>43960.435795410296</v>
      </c>
      <c r="K345" s="7">
        <f>IF(PaymentSchedule3[[#This Row],[PMT NO]]&lt;&gt;"",SUM(INDEX([INTEREST],1,1):PaymentSchedule3[[#This Row],[INTEREST]]),"")</f>
        <v>214520.33492248837</v>
      </c>
    </row>
    <row r="346" spans="2:11">
      <c r="B346" s="4">
        <f>IF(LoanIsGood,IF(ROW()-ROW(PaymentSchedule3[[#Headers],[PMT NO]])&gt;ScheduledNumberOfPayments,"",ROW()-ROW(PaymentSchedule3[[#Headers],[PMT NO]])),"")</f>
        <v>330</v>
      </c>
      <c r="C346" s="5">
        <f>IF(PaymentSchedule3[[#This Row],[PMT NO]]&lt;&gt;"",EOMONTH(LoanStartDate,ROW(PaymentSchedule3[[#This Row],[PMT NO]])-ROW(PaymentSchedule3[[#Headers],[PMT NO]])-2)+DAY(LoanStartDate),"")</f>
        <v>54089</v>
      </c>
      <c r="D346" s="7">
        <f>IF(PaymentSchedule3[[#This Row],[PMT NO]]&lt;&gt;"",IF(ROW()-ROW(PaymentSchedule3[[#Headers],[BEGINNING BALANCE]])=1,LoanAmount,INDEX([ENDING BALANCE],ROW()-ROW(PaymentSchedule3[[#Headers],[BEGINNING BALANCE]])-1)),"")</f>
        <v>43960.435795410296</v>
      </c>
      <c r="E346" s="7">
        <f>IF(PaymentSchedule3[[#This Row],[PMT NO]]&lt;&gt;"",ScheduledPayment,"")</f>
        <v>1491.0635231826082</v>
      </c>
      <c r="F34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6" s="7">
        <f>IF(PaymentSchedule3[[#This Row],[PMT NO]]&lt;&gt;"",PaymentSchedule3[[#This Row],[TOTAL PAYMENT]]-PaymentSchedule3[[#This Row],[INTEREST]],"")</f>
        <v>1351.8554764971423</v>
      </c>
      <c r="I346" s="7">
        <f>IF(PaymentSchedule3[[#This Row],[PMT NO]]&lt;&gt;"",PaymentSchedule3[[#This Row],[BEGINNING BALANCE]]*(InterestRate/PaymentsPerYear),"")</f>
        <v>139.20804668546594</v>
      </c>
      <c r="J346" s="7">
        <f>IF(PaymentSchedule3[[#This Row],[PMT NO]]&lt;&gt;"",IF(PaymentSchedule3[[#This Row],[SCHEDULED PAYMENT]]+PaymentSchedule3[[#This Row],[EXTRA PAYMENT]]&lt;=PaymentSchedule3[[#This Row],[BEGINNING BALANCE]],PaymentSchedule3[[#This Row],[BEGINNING BALANCE]]-PaymentSchedule3[[#This Row],[PRINCIPAL]],0),"")</f>
        <v>42608.580318913155</v>
      </c>
      <c r="K346" s="7">
        <f>IF(PaymentSchedule3[[#This Row],[PMT NO]]&lt;&gt;"",SUM(INDEX([INTEREST],1,1):PaymentSchedule3[[#This Row],[INTEREST]]),"")</f>
        <v>214659.54296917384</v>
      </c>
    </row>
    <row r="347" spans="2:11">
      <c r="B347" s="4">
        <f>IF(LoanIsGood,IF(ROW()-ROW(PaymentSchedule3[[#Headers],[PMT NO]])&gt;ScheduledNumberOfPayments,"",ROW()-ROW(PaymentSchedule3[[#Headers],[PMT NO]])),"")</f>
        <v>331</v>
      </c>
      <c r="C347" s="5">
        <f>IF(PaymentSchedule3[[#This Row],[PMT NO]]&lt;&gt;"",EOMONTH(LoanStartDate,ROW(PaymentSchedule3[[#This Row],[PMT NO]])-ROW(PaymentSchedule3[[#Headers],[PMT NO]])-2)+DAY(LoanStartDate),"")</f>
        <v>54118</v>
      </c>
      <c r="D347" s="7">
        <f>IF(PaymentSchedule3[[#This Row],[PMT NO]]&lt;&gt;"",IF(ROW()-ROW(PaymentSchedule3[[#Headers],[BEGINNING BALANCE]])=1,LoanAmount,INDEX([ENDING BALANCE],ROW()-ROW(PaymentSchedule3[[#Headers],[BEGINNING BALANCE]])-1)),"")</f>
        <v>42608.580318913155</v>
      </c>
      <c r="E347" s="7">
        <f>IF(PaymentSchedule3[[#This Row],[PMT NO]]&lt;&gt;"",ScheduledPayment,"")</f>
        <v>1491.0635231826082</v>
      </c>
      <c r="F34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7" s="7">
        <f>IF(PaymentSchedule3[[#This Row],[PMT NO]]&lt;&gt;"",PaymentSchedule3[[#This Row],[TOTAL PAYMENT]]-PaymentSchedule3[[#This Row],[INTEREST]],"")</f>
        <v>1356.1363521727164</v>
      </c>
      <c r="I347" s="7">
        <f>IF(PaymentSchedule3[[#This Row],[PMT NO]]&lt;&gt;"",PaymentSchedule3[[#This Row],[BEGINNING BALANCE]]*(InterestRate/PaymentsPerYear),"")</f>
        <v>134.92717100989165</v>
      </c>
      <c r="J347" s="7">
        <f>IF(PaymentSchedule3[[#This Row],[PMT NO]]&lt;&gt;"",IF(PaymentSchedule3[[#This Row],[SCHEDULED PAYMENT]]+PaymentSchedule3[[#This Row],[EXTRA PAYMENT]]&lt;=PaymentSchedule3[[#This Row],[BEGINNING BALANCE]],PaymentSchedule3[[#This Row],[BEGINNING BALANCE]]-PaymentSchedule3[[#This Row],[PRINCIPAL]],0),"")</f>
        <v>41252.443966740437</v>
      </c>
      <c r="K347" s="7">
        <f>IF(PaymentSchedule3[[#This Row],[PMT NO]]&lt;&gt;"",SUM(INDEX([INTEREST],1,1):PaymentSchedule3[[#This Row],[INTEREST]]),"")</f>
        <v>214794.47014018372</v>
      </c>
    </row>
    <row r="348" spans="2:11">
      <c r="B348" s="4">
        <f>IF(LoanIsGood,IF(ROW()-ROW(PaymentSchedule3[[#Headers],[PMT NO]])&gt;ScheduledNumberOfPayments,"",ROW()-ROW(PaymentSchedule3[[#Headers],[PMT NO]])),"")</f>
        <v>332</v>
      </c>
      <c r="C348" s="5">
        <f>IF(PaymentSchedule3[[#This Row],[PMT NO]]&lt;&gt;"",EOMONTH(LoanStartDate,ROW(PaymentSchedule3[[#This Row],[PMT NO]])-ROW(PaymentSchedule3[[#Headers],[PMT NO]])-2)+DAY(LoanStartDate),"")</f>
        <v>54149</v>
      </c>
      <c r="D348" s="7">
        <f>IF(PaymentSchedule3[[#This Row],[PMT NO]]&lt;&gt;"",IF(ROW()-ROW(PaymentSchedule3[[#Headers],[BEGINNING BALANCE]])=1,LoanAmount,INDEX([ENDING BALANCE],ROW()-ROW(PaymentSchedule3[[#Headers],[BEGINNING BALANCE]])-1)),"")</f>
        <v>41252.443966740437</v>
      </c>
      <c r="E348" s="7">
        <f>IF(PaymentSchedule3[[#This Row],[PMT NO]]&lt;&gt;"",ScheduledPayment,"")</f>
        <v>1491.0635231826082</v>
      </c>
      <c r="F34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8" s="7">
        <f>IF(PaymentSchedule3[[#This Row],[PMT NO]]&lt;&gt;"",PaymentSchedule3[[#This Row],[TOTAL PAYMENT]]-PaymentSchedule3[[#This Row],[INTEREST]],"")</f>
        <v>1360.4307839545968</v>
      </c>
      <c r="I348" s="7">
        <f>IF(PaymentSchedule3[[#This Row],[PMT NO]]&lt;&gt;"",PaymentSchedule3[[#This Row],[BEGINNING BALANCE]]*(InterestRate/PaymentsPerYear),"")</f>
        <v>130.63273922801139</v>
      </c>
      <c r="J348" s="7">
        <f>IF(PaymentSchedule3[[#This Row],[PMT NO]]&lt;&gt;"",IF(PaymentSchedule3[[#This Row],[SCHEDULED PAYMENT]]+PaymentSchedule3[[#This Row],[EXTRA PAYMENT]]&lt;=PaymentSchedule3[[#This Row],[BEGINNING BALANCE]],PaymentSchedule3[[#This Row],[BEGINNING BALANCE]]-PaymentSchedule3[[#This Row],[PRINCIPAL]],0),"")</f>
        <v>39892.013182785842</v>
      </c>
      <c r="K348" s="7">
        <f>IF(PaymentSchedule3[[#This Row],[PMT NO]]&lt;&gt;"",SUM(INDEX([INTEREST],1,1):PaymentSchedule3[[#This Row],[INTEREST]]),"")</f>
        <v>214925.10287941174</v>
      </c>
    </row>
    <row r="349" spans="2:11">
      <c r="B349" s="4">
        <f>IF(LoanIsGood,IF(ROW()-ROW(PaymentSchedule3[[#Headers],[PMT NO]])&gt;ScheduledNumberOfPayments,"",ROW()-ROW(PaymentSchedule3[[#Headers],[PMT NO]])),"")</f>
        <v>333</v>
      </c>
      <c r="C349" s="5">
        <f>IF(PaymentSchedule3[[#This Row],[PMT NO]]&lt;&gt;"",EOMONTH(LoanStartDate,ROW(PaymentSchedule3[[#This Row],[PMT NO]])-ROW(PaymentSchedule3[[#Headers],[PMT NO]])-2)+DAY(LoanStartDate),"")</f>
        <v>54179</v>
      </c>
      <c r="D349" s="7">
        <f>IF(PaymentSchedule3[[#This Row],[PMT NO]]&lt;&gt;"",IF(ROW()-ROW(PaymentSchedule3[[#Headers],[BEGINNING BALANCE]])=1,LoanAmount,INDEX([ENDING BALANCE],ROW()-ROW(PaymentSchedule3[[#Headers],[BEGINNING BALANCE]])-1)),"")</f>
        <v>39892.013182785842</v>
      </c>
      <c r="E349" s="7">
        <f>IF(PaymentSchedule3[[#This Row],[PMT NO]]&lt;&gt;"",ScheduledPayment,"")</f>
        <v>1491.0635231826082</v>
      </c>
      <c r="F34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49" s="7">
        <f>IF(PaymentSchedule3[[#This Row],[PMT NO]]&lt;&gt;"",PaymentSchedule3[[#This Row],[TOTAL PAYMENT]]-PaymentSchedule3[[#This Row],[INTEREST]],"")</f>
        <v>1364.738814770453</v>
      </c>
      <c r="I349" s="7">
        <f>IF(PaymentSchedule3[[#This Row],[PMT NO]]&lt;&gt;"",PaymentSchedule3[[#This Row],[BEGINNING BALANCE]]*(InterestRate/PaymentsPerYear),"")</f>
        <v>126.32470841215516</v>
      </c>
      <c r="J349" s="7">
        <f>IF(PaymentSchedule3[[#This Row],[PMT NO]]&lt;&gt;"",IF(PaymentSchedule3[[#This Row],[SCHEDULED PAYMENT]]+PaymentSchedule3[[#This Row],[EXTRA PAYMENT]]&lt;=PaymentSchedule3[[#This Row],[BEGINNING BALANCE]],PaymentSchedule3[[#This Row],[BEGINNING BALANCE]]-PaymentSchedule3[[#This Row],[PRINCIPAL]],0),"")</f>
        <v>38527.274368015387</v>
      </c>
      <c r="K349" s="7">
        <f>IF(PaymentSchedule3[[#This Row],[PMT NO]]&lt;&gt;"",SUM(INDEX([INTEREST],1,1):PaymentSchedule3[[#This Row],[INTEREST]]),"")</f>
        <v>215051.42758782391</v>
      </c>
    </row>
    <row r="350" spans="2:11">
      <c r="B350" s="4">
        <f>IF(LoanIsGood,IF(ROW()-ROW(PaymentSchedule3[[#Headers],[PMT NO]])&gt;ScheduledNumberOfPayments,"",ROW()-ROW(PaymentSchedule3[[#Headers],[PMT NO]])),"")</f>
        <v>334</v>
      </c>
      <c r="C350" s="5">
        <f>IF(PaymentSchedule3[[#This Row],[PMT NO]]&lt;&gt;"",EOMONTH(LoanStartDate,ROW(PaymentSchedule3[[#This Row],[PMT NO]])-ROW(PaymentSchedule3[[#Headers],[PMT NO]])-2)+DAY(LoanStartDate),"")</f>
        <v>54210</v>
      </c>
      <c r="D350" s="7">
        <f>IF(PaymentSchedule3[[#This Row],[PMT NO]]&lt;&gt;"",IF(ROW()-ROW(PaymentSchedule3[[#Headers],[BEGINNING BALANCE]])=1,LoanAmount,INDEX([ENDING BALANCE],ROW()-ROW(PaymentSchedule3[[#Headers],[BEGINNING BALANCE]])-1)),"")</f>
        <v>38527.274368015387</v>
      </c>
      <c r="E350" s="7">
        <f>IF(PaymentSchedule3[[#This Row],[PMT NO]]&lt;&gt;"",ScheduledPayment,"")</f>
        <v>1491.0635231826082</v>
      </c>
      <c r="F35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0" s="7">
        <f>IF(PaymentSchedule3[[#This Row],[PMT NO]]&lt;&gt;"",PaymentSchedule3[[#This Row],[TOTAL PAYMENT]]-PaymentSchedule3[[#This Row],[INTEREST]],"")</f>
        <v>1369.0604876838927</v>
      </c>
      <c r="I350" s="7">
        <f>IF(PaymentSchedule3[[#This Row],[PMT NO]]&lt;&gt;"",PaymentSchedule3[[#This Row],[BEGINNING BALANCE]]*(InterestRate/PaymentsPerYear),"")</f>
        <v>122.00303549871539</v>
      </c>
      <c r="J350" s="7">
        <f>IF(PaymentSchedule3[[#This Row],[PMT NO]]&lt;&gt;"",IF(PaymentSchedule3[[#This Row],[SCHEDULED PAYMENT]]+PaymentSchedule3[[#This Row],[EXTRA PAYMENT]]&lt;=PaymentSchedule3[[#This Row],[BEGINNING BALANCE]],PaymentSchedule3[[#This Row],[BEGINNING BALANCE]]-PaymentSchedule3[[#This Row],[PRINCIPAL]],0),"")</f>
        <v>37158.213880331496</v>
      </c>
      <c r="K350" s="7">
        <f>IF(PaymentSchedule3[[#This Row],[PMT NO]]&lt;&gt;"",SUM(INDEX([INTEREST],1,1):PaymentSchedule3[[#This Row],[INTEREST]]),"")</f>
        <v>215173.43062332264</v>
      </c>
    </row>
    <row r="351" spans="2:11">
      <c r="B351" s="4">
        <f>IF(LoanIsGood,IF(ROW()-ROW(PaymentSchedule3[[#Headers],[PMT NO]])&gt;ScheduledNumberOfPayments,"",ROW()-ROW(PaymentSchedule3[[#Headers],[PMT NO]])),"")</f>
        <v>335</v>
      </c>
      <c r="C351" s="5">
        <f>IF(PaymentSchedule3[[#This Row],[PMT NO]]&lt;&gt;"",EOMONTH(LoanStartDate,ROW(PaymentSchedule3[[#This Row],[PMT NO]])-ROW(PaymentSchedule3[[#Headers],[PMT NO]])-2)+DAY(LoanStartDate),"")</f>
        <v>54240</v>
      </c>
      <c r="D351" s="7">
        <f>IF(PaymentSchedule3[[#This Row],[PMT NO]]&lt;&gt;"",IF(ROW()-ROW(PaymentSchedule3[[#Headers],[BEGINNING BALANCE]])=1,LoanAmount,INDEX([ENDING BALANCE],ROW()-ROW(PaymentSchedule3[[#Headers],[BEGINNING BALANCE]])-1)),"")</f>
        <v>37158.213880331496</v>
      </c>
      <c r="E351" s="7">
        <f>IF(PaymentSchedule3[[#This Row],[PMT NO]]&lt;&gt;"",ScheduledPayment,"")</f>
        <v>1491.0635231826082</v>
      </c>
      <c r="F35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1" s="7">
        <f>IF(PaymentSchedule3[[#This Row],[PMT NO]]&lt;&gt;"",PaymentSchedule3[[#This Row],[TOTAL PAYMENT]]-PaymentSchedule3[[#This Row],[INTEREST]],"")</f>
        <v>1373.3958458948919</v>
      </c>
      <c r="I351" s="7">
        <f>IF(PaymentSchedule3[[#This Row],[PMT NO]]&lt;&gt;"",PaymentSchedule3[[#This Row],[BEGINNING BALANCE]]*(InterestRate/PaymentsPerYear),"")</f>
        <v>117.6676772877164</v>
      </c>
      <c r="J351" s="7">
        <f>IF(PaymentSchedule3[[#This Row],[PMT NO]]&lt;&gt;"",IF(PaymentSchedule3[[#This Row],[SCHEDULED PAYMENT]]+PaymentSchedule3[[#This Row],[EXTRA PAYMENT]]&lt;=PaymentSchedule3[[#This Row],[BEGINNING BALANCE]],PaymentSchedule3[[#This Row],[BEGINNING BALANCE]]-PaymentSchedule3[[#This Row],[PRINCIPAL]],0),"")</f>
        <v>35784.818034436605</v>
      </c>
      <c r="K351" s="7">
        <f>IF(PaymentSchedule3[[#This Row],[PMT NO]]&lt;&gt;"",SUM(INDEX([INTEREST],1,1):PaymentSchedule3[[#This Row],[INTEREST]]),"")</f>
        <v>215291.09830061035</v>
      </c>
    </row>
    <row r="352" spans="2:11">
      <c r="B352" s="4">
        <f>IF(LoanIsGood,IF(ROW()-ROW(PaymentSchedule3[[#Headers],[PMT NO]])&gt;ScheduledNumberOfPayments,"",ROW()-ROW(PaymentSchedule3[[#Headers],[PMT NO]])),"")</f>
        <v>336</v>
      </c>
      <c r="C352" s="5">
        <f>IF(PaymentSchedule3[[#This Row],[PMT NO]]&lt;&gt;"",EOMONTH(LoanStartDate,ROW(PaymentSchedule3[[#This Row],[PMT NO]])-ROW(PaymentSchedule3[[#Headers],[PMT NO]])-2)+DAY(LoanStartDate),"")</f>
        <v>54271</v>
      </c>
      <c r="D352" s="7">
        <f>IF(PaymentSchedule3[[#This Row],[PMT NO]]&lt;&gt;"",IF(ROW()-ROW(PaymentSchedule3[[#Headers],[BEGINNING BALANCE]])=1,LoanAmount,INDEX([ENDING BALANCE],ROW()-ROW(PaymentSchedule3[[#Headers],[BEGINNING BALANCE]])-1)),"")</f>
        <v>35784.818034436605</v>
      </c>
      <c r="E352" s="7">
        <f>IF(PaymentSchedule3[[#This Row],[PMT NO]]&lt;&gt;"",ScheduledPayment,"")</f>
        <v>1491.0635231826082</v>
      </c>
      <c r="F35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2" s="7">
        <f>IF(PaymentSchedule3[[#This Row],[PMT NO]]&lt;&gt;"",PaymentSchedule3[[#This Row],[TOTAL PAYMENT]]-PaymentSchedule3[[#This Row],[INTEREST]],"")</f>
        <v>1377.7449327402255</v>
      </c>
      <c r="I352" s="7">
        <f>IF(PaymentSchedule3[[#This Row],[PMT NO]]&lt;&gt;"",PaymentSchedule3[[#This Row],[BEGINNING BALANCE]]*(InterestRate/PaymentsPerYear),"")</f>
        <v>113.31859044238257</v>
      </c>
      <c r="J352" s="7">
        <f>IF(PaymentSchedule3[[#This Row],[PMT NO]]&lt;&gt;"",IF(PaymentSchedule3[[#This Row],[SCHEDULED PAYMENT]]+PaymentSchedule3[[#This Row],[EXTRA PAYMENT]]&lt;=PaymentSchedule3[[#This Row],[BEGINNING BALANCE]],PaymentSchedule3[[#This Row],[BEGINNING BALANCE]]-PaymentSchedule3[[#This Row],[PRINCIPAL]],0),"")</f>
        <v>34407.073101696376</v>
      </c>
      <c r="K352" s="7">
        <f>IF(PaymentSchedule3[[#This Row],[PMT NO]]&lt;&gt;"",SUM(INDEX([INTEREST],1,1):PaymentSchedule3[[#This Row],[INTEREST]]),"")</f>
        <v>215404.41689105274</v>
      </c>
    </row>
    <row r="353" spans="2:11">
      <c r="B353" s="4">
        <f>IF(LoanIsGood,IF(ROW()-ROW(PaymentSchedule3[[#Headers],[PMT NO]])&gt;ScheduledNumberOfPayments,"",ROW()-ROW(PaymentSchedule3[[#Headers],[PMT NO]])),"")</f>
        <v>337</v>
      </c>
      <c r="C353" s="5">
        <f>IF(PaymentSchedule3[[#This Row],[PMT NO]]&lt;&gt;"",EOMONTH(LoanStartDate,ROW(PaymentSchedule3[[#This Row],[PMT NO]])-ROW(PaymentSchedule3[[#Headers],[PMT NO]])-2)+DAY(LoanStartDate),"")</f>
        <v>54302</v>
      </c>
      <c r="D353" s="7">
        <f>IF(PaymentSchedule3[[#This Row],[PMT NO]]&lt;&gt;"",IF(ROW()-ROW(PaymentSchedule3[[#Headers],[BEGINNING BALANCE]])=1,LoanAmount,INDEX([ENDING BALANCE],ROW()-ROW(PaymentSchedule3[[#Headers],[BEGINNING BALANCE]])-1)),"")</f>
        <v>34407.073101696376</v>
      </c>
      <c r="E353" s="7">
        <f>IF(PaymentSchedule3[[#This Row],[PMT NO]]&lt;&gt;"",ScheduledPayment,"")</f>
        <v>1491.0635231826082</v>
      </c>
      <c r="F35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3" s="7">
        <f>IF(PaymentSchedule3[[#This Row],[PMT NO]]&lt;&gt;"",PaymentSchedule3[[#This Row],[TOTAL PAYMENT]]-PaymentSchedule3[[#This Row],[INTEREST]],"")</f>
        <v>1382.107791693903</v>
      </c>
      <c r="I353" s="7">
        <f>IF(PaymentSchedule3[[#This Row],[PMT NO]]&lt;&gt;"",PaymentSchedule3[[#This Row],[BEGINNING BALANCE]]*(InterestRate/PaymentsPerYear),"")</f>
        <v>108.95573148870518</v>
      </c>
      <c r="J353" s="7">
        <f>IF(PaymentSchedule3[[#This Row],[PMT NO]]&lt;&gt;"",IF(PaymentSchedule3[[#This Row],[SCHEDULED PAYMENT]]+PaymentSchedule3[[#This Row],[EXTRA PAYMENT]]&lt;=PaymentSchedule3[[#This Row],[BEGINNING BALANCE]],PaymentSchedule3[[#This Row],[BEGINNING BALANCE]]-PaymentSchedule3[[#This Row],[PRINCIPAL]],0),"")</f>
        <v>33024.965310002473</v>
      </c>
      <c r="K353" s="7">
        <f>IF(PaymentSchedule3[[#This Row],[PMT NO]]&lt;&gt;"",SUM(INDEX([INTEREST],1,1):PaymentSchedule3[[#This Row],[INTEREST]]),"")</f>
        <v>215513.37262254144</v>
      </c>
    </row>
    <row r="354" spans="2:11">
      <c r="B354" s="4">
        <f>IF(LoanIsGood,IF(ROW()-ROW(PaymentSchedule3[[#Headers],[PMT NO]])&gt;ScheduledNumberOfPayments,"",ROW()-ROW(PaymentSchedule3[[#Headers],[PMT NO]])),"")</f>
        <v>338</v>
      </c>
      <c r="C354" s="5">
        <f>IF(PaymentSchedule3[[#This Row],[PMT NO]]&lt;&gt;"",EOMONTH(LoanStartDate,ROW(PaymentSchedule3[[#This Row],[PMT NO]])-ROW(PaymentSchedule3[[#Headers],[PMT NO]])-2)+DAY(LoanStartDate),"")</f>
        <v>54332</v>
      </c>
      <c r="D354" s="7">
        <f>IF(PaymentSchedule3[[#This Row],[PMT NO]]&lt;&gt;"",IF(ROW()-ROW(PaymentSchedule3[[#Headers],[BEGINNING BALANCE]])=1,LoanAmount,INDEX([ENDING BALANCE],ROW()-ROW(PaymentSchedule3[[#Headers],[BEGINNING BALANCE]])-1)),"")</f>
        <v>33024.965310002473</v>
      </c>
      <c r="E354" s="7">
        <f>IF(PaymentSchedule3[[#This Row],[PMT NO]]&lt;&gt;"",ScheduledPayment,"")</f>
        <v>1491.0635231826082</v>
      </c>
      <c r="F35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4" s="7">
        <f>IF(PaymentSchedule3[[#This Row],[PMT NO]]&lt;&gt;"",PaymentSchedule3[[#This Row],[TOTAL PAYMENT]]-PaymentSchedule3[[#This Row],[INTEREST]],"")</f>
        <v>1386.4844663676004</v>
      </c>
      <c r="I354" s="7">
        <f>IF(PaymentSchedule3[[#This Row],[PMT NO]]&lt;&gt;"",PaymentSchedule3[[#This Row],[BEGINNING BALANCE]]*(InterestRate/PaymentsPerYear),"")</f>
        <v>104.57905681500783</v>
      </c>
      <c r="J354" s="7">
        <f>IF(PaymentSchedule3[[#This Row],[PMT NO]]&lt;&gt;"",IF(PaymentSchedule3[[#This Row],[SCHEDULED PAYMENT]]+PaymentSchedule3[[#This Row],[EXTRA PAYMENT]]&lt;=PaymentSchedule3[[#This Row],[BEGINNING BALANCE]],PaymentSchedule3[[#This Row],[BEGINNING BALANCE]]-PaymentSchedule3[[#This Row],[PRINCIPAL]],0),"")</f>
        <v>31638.480843634872</v>
      </c>
      <c r="K354" s="7">
        <f>IF(PaymentSchedule3[[#This Row],[PMT NO]]&lt;&gt;"",SUM(INDEX([INTEREST],1,1):PaymentSchedule3[[#This Row],[INTEREST]]),"")</f>
        <v>215617.95167935645</v>
      </c>
    </row>
    <row r="355" spans="2:11">
      <c r="B355" s="4">
        <f>IF(LoanIsGood,IF(ROW()-ROW(PaymentSchedule3[[#Headers],[PMT NO]])&gt;ScheduledNumberOfPayments,"",ROW()-ROW(PaymentSchedule3[[#Headers],[PMT NO]])),"")</f>
        <v>339</v>
      </c>
      <c r="C355" s="5">
        <f>IF(PaymentSchedule3[[#This Row],[PMT NO]]&lt;&gt;"",EOMONTH(LoanStartDate,ROW(PaymentSchedule3[[#This Row],[PMT NO]])-ROW(PaymentSchedule3[[#Headers],[PMT NO]])-2)+DAY(LoanStartDate),"")</f>
        <v>54363</v>
      </c>
      <c r="D355" s="7">
        <f>IF(PaymentSchedule3[[#This Row],[PMT NO]]&lt;&gt;"",IF(ROW()-ROW(PaymentSchedule3[[#Headers],[BEGINNING BALANCE]])=1,LoanAmount,INDEX([ENDING BALANCE],ROW()-ROW(PaymentSchedule3[[#Headers],[BEGINNING BALANCE]])-1)),"")</f>
        <v>31638.480843634872</v>
      </c>
      <c r="E355" s="7">
        <f>IF(PaymentSchedule3[[#This Row],[PMT NO]]&lt;&gt;"",ScheduledPayment,"")</f>
        <v>1491.0635231826082</v>
      </c>
      <c r="F35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5" s="7">
        <f>IF(PaymentSchedule3[[#This Row],[PMT NO]]&lt;&gt;"",PaymentSchedule3[[#This Row],[TOTAL PAYMENT]]-PaymentSchedule3[[#This Row],[INTEREST]],"")</f>
        <v>1390.8750005110978</v>
      </c>
      <c r="I355" s="7">
        <f>IF(PaymentSchedule3[[#This Row],[PMT NO]]&lt;&gt;"",PaymentSchedule3[[#This Row],[BEGINNING BALANCE]]*(InterestRate/PaymentsPerYear),"")</f>
        <v>100.18852267151043</v>
      </c>
      <c r="J355" s="7">
        <f>IF(PaymentSchedule3[[#This Row],[PMT NO]]&lt;&gt;"",IF(PaymentSchedule3[[#This Row],[SCHEDULED PAYMENT]]+PaymentSchedule3[[#This Row],[EXTRA PAYMENT]]&lt;=PaymentSchedule3[[#This Row],[BEGINNING BALANCE]],PaymentSchedule3[[#This Row],[BEGINNING BALANCE]]-PaymentSchedule3[[#This Row],[PRINCIPAL]],0),"")</f>
        <v>30247.605843123776</v>
      </c>
      <c r="K355" s="7">
        <f>IF(PaymentSchedule3[[#This Row],[PMT NO]]&lt;&gt;"",SUM(INDEX([INTEREST],1,1):PaymentSchedule3[[#This Row],[INTEREST]]),"")</f>
        <v>215718.14020202798</v>
      </c>
    </row>
    <row r="356" spans="2:11">
      <c r="B356" s="4">
        <f>IF(LoanIsGood,IF(ROW()-ROW(PaymentSchedule3[[#Headers],[PMT NO]])&gt;ScheduledNumberOfPayments,"",ROW()-ROW(PaymentSchedule3[[#Headers],[PMT NO]])),"")</f>
        <v>340</v>
      </c>
      <c r="C356" s="5">
        <f>IF(PaymentSchedule3[[#This Row],[PMT NO]]&lt;&gt;"",EOMONTH(LoanStartDate,ROW(PaymentSchedule3[[#This Row],[PMT NO]])-ROW(PaymentSchedule3[[#Headers],[PMT NO]])-2)+DAY(LoanStartDate),"")</f>
        <v>54393</v>
      </c>
      <c r="D356" s="7">
        <f>IF(PaymentSchedule3[[#This Row],[PMT NO]]&lt;&gt;"",IF(ROW()-ROW(PaymentSchedule3[[#Headers],[BEGINNING BALANCE]])=1,LoanAmount,INDEX([ENDING BALANCE],ROW()-ROW(PaymentSchedule3[[#Headers],[BEGINNING BALANCE]])-1)),"")</f>
        <v>30247.605843123776</v>
      </c>
      <c r="E356" s="7">
        <f>IF(PaymentSchedule3[[#This Row],[PMT NO]]&lt;&gt;"",ScheduledPayment,"")</f>
        <v>1491.0635231826082</v>
      </c>
      <c r="F35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6" s="7">
        <f>IF(PaymentSchedule3[[#This Row],[PMT NO]]&lt;&gt;"",PaymentSchedule3[[#This Row],[TOTAL PAYMENT]]-PaymentSchedule3[[#This Row],[INTEREST]],"")</f>
        <v>1395.2794380127161</v>
      </c>
      <c r="I356" s="7">
        <f>IF(PaymentSchedule3[[#This Row],[PMT NO]]&lt;&gt;"",PaymentSchedule3[[#This Row],[BEGINNING BALANCE]]*(InterestRate/PaymentsPerYear),"")</f>
        <v>95.784085169891952</v>
      </c>
      <c r="J356" s="7">
        <f>IF(PaymentSchedule3[[#This Row],[PMT NO]]&lt;&gt;"",IF(PaymentSchedule3[[#This Row],[SCHEDULED PAYMENT]]+PaymentSchedule3[[#This Row],[EXTRA PAYMENT]]&lt;=PaymentSchedule3[[#This Row],[BEGINNING BALANCE]],PaymentSchedule3[[#This Row],[BEGINNING BALANCE]]-PaymentSchedule3[[#This Row],[PRINCIPAL]],0),"")</f>
        <v>28852.32640511106</v>
      </c>
      <c r="K356" s="7">
        <f>IF(PaymentSchedule3[[#This Row],[PMT NO]]&lt;&gt;"",SUM(INDEX([INTEREST],1,1):PaymentSchedule3[[#This Row],[INTEREST]]),"")</f>
        <v>215813.92428719788</v>
      </c>
    </row>
    <row r="357" spans="2:11">
      <c r="B357" s="4">
        <f>IF(LoanIsGood,IF(ROW()-ROW(PaymentSchedule3[[#Headers],[PMT NO]])&gt;ScheduledNumberOfPayments,"",ROW()-ROW(PaymentSchedule3[[#Headers],[PMT NO]])),"")</f>
        <v>341</v>
      </c>
      <c r="C357" s="5">
        <f>IF(PaymentSchedule3[[#This Row],[PMT NO]]&lt;&gt;"",EOMONTH(LoanStartDate,ROW(PaymentSchedule3[[#This Row],[PMT NO]])-ROW(PaymentSchedule3[[#Headers],[PMT NO]])-2)+DAY(LoanStartDate),"")</f>
        <v>54424</v>
      </c>
      <c r="D357" s="7">
        <f>IF(PaymentSchedule3[[#This Row],[PMT NO]]&lt;&gt;"",IF(ROW()-ROW(PaymentSchedule3[[#Headers],[BEGINNING BALANCE]])=1,LoanAmount,INDEX([ENDING BALANCE],ROW()-ROW(PaymentSchedule3[[#Headers],[BEGINNING BALANCE]])-1)),"")</f>
        <v>28852.32640511106</v>
      </c>
      <c r="E357" s="7">
        <f>IF(PaymentSchedule3[[#This Row],[PMT NO]]&lt;&gt;"",ScheduledPayment,"")</f>
        <v>1491.0635231826082</v>
      </c>
      <c r="F35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7" s="7">
        <f>IF(PaymentSchedule3[[#This Row],[PMT NO]]&lt;&gt;"",PaymentSchedule3[[#This Row],[TOTAL PAYMENT]]-PaymentSchedule3[[#This Row],[INTEREST]],"")</f>
        <v>1399.6978228997564</v>
      </c>
      <c r="I357" s="7">
        <f>IF(PaymentSchedule3[[#This Row],[PMT NO]]&lt;&gt;"",PaymentSchedule3[[#This Row],[BEGINNING BALANCE]]*(InterestRate/PaymentsPerYear),"")</f>
        <v>91.365700282851691</v>
      </c>
      <c r="J357" s="7">
        <f>IF(PaymentSchedule3[[#This Row],[PMT NO]]&lt;&gt;"",IF(PaymentSchedule3[[#This Row],[SCHEDULED PAYMENT]]+PaymentSchedule3[[#This Row],[EXTRA PAYMENT]]&lt;=PaymentSchedule3[[#This Row],[BEGINNING BALANCE]],PaymentSchedule3[[#This Row],[BEGINNING BALANCE]]-PaymentSchedule3[[#This Row],[PRINCIPAL]],0),"")</f>
        <v>27452.628582211302</v>
      </c>
      <c r="K357" s="7">
        <f>IF(PaymentSchedule3[[#This Row],[PMT NO]]&lt;&gt;"",SUM(INDEX([INTEREST],1,1):PaymentSchedule3[[#This Row],[INTEREST]]),"")</f>
        <v>215905.28998748073</v>
      </c>
    </row>
    <row r="358" spans="2:11">
      <c r="B358" s="4">
        <f>IF(LoanIsGood,IF(ROW()-ROW(PaymentSchedule3[[#Headers],[PMT NO]])&gt;ScheduledNumberOfPayments,"",ROW()-ROW(PaymentSchedule3[[#Headers],[PMT NO]])),"")</f>
        <v>342</v>
      </c>
      <c r="C358" s="5">
        <f>IF(PaymentSchedule3[[#This Row],[PMT NO]]&lt;&gt;"",EOMONTH(LoanStartDate,ROW(PaymentSchedule3[[#This Row],[PMT NO]])-ROW(PaymentSchedule3[[#Headers],[PMT NO]])-2)+DAY(LoanStartDate),"")</f>
        <v>54455</v>
      </c>
      <c r="D358" s="7">
        <f>IF(PaymentSchedule3[[#This Row],[PMT NO]]&lt;&gt;"",IF(ROW()-ROW(PaymentSchedule3[[#Headers],[BEGINNING BALANCE]])=1,LoanAmount,INDEX([ENDING BALANCE],ROW()-ROW(PaymentSchedule3[[#Headers],[BEGINNING BALANCE]])-1)),"")</f>
        <v>27452.628582211302</v>
      </c>
      <c r="E358" s="7">
        <f>IF(PaymentSchedule3[[#This Row],[PMT NO]]&lt;&gt;"",ScheduledPayment,"")</f>
        <v>1491.0635231826082</v>
      </c>
      <c r="F35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8" s="7">
        <f>IF(PaymentSchedule3[[#This Row],[PMT NO]]&lt;&gt;"",PaymentSchedule3[[#This Row],[TOTAL PAYMENT]]-PaymentSchedule3[[#This Row],[INTEREST]],"")</f>
        <v>1404.1301993389391</v>
      </c>
      <c r="I358" s="7">
        <f>IF(PaymentSchedule3[[#This Row],[PMT NO]]&lt;&gt;"",PaymentSchedule3[[#This Row],[BEGINNING BALANCE]]*(InterestRate/PaymentsPerYear),"")</f>
        <v>86.933323843669115</v>
      </c>
      <c r="J358" s="7">
        <f>IF(PaymentSchedule3[[#This Row],[PMT NO]]&lt;&gt;"",IF(PaymentSchedule3[[#This Row],[SCHEDULED PAYMENT]]+PaymentSchedule3[[#This Row],[EXTRA PAYMENT]]&lt;=PaymentSchedule3[[#This Row],[BEGINNING BALANCE]],PaymentSchedule3[[#This Row],[BEGINNING BALANCE]]-PaymentSchedule3[[#This Row],[PRINCIPAL]],0),"")</f>
        <v>26048.498382872363</v>
      </c>
      <c r="K358" s="7">
        <f>IF(PaymentSchedule3[[#This Row],[PMT NO]]&lt;&gt;"",SUM(INDEX([INTEREST],1,1):PaymentSchedule3[[#This Row],[INTEREST]]),"")</f>
        <v>215992.2233113244</v>
      </c>
    </row>
    <row r="359" spans="2:11">
      <c r="B359" s="4">
        <f>IF(LoanIsGood,IF(ROW()-ROW(PaymentSchedule3[[#Headers],[PMT NO]])&gt;ScheduledNumberOfPayments,"",ROW()-ROW(PaymentSchedule3[[#Headers],[PMT NO]])),"")</f>
        <v>343</v>
      </c>
      <c r="C359" s="5">
        <f>IF(PaymentSchedule3[[#This Row],[PMT NO]]&lt;&gt;"",EOMONTH(LoanStartDate,ROW(PaymentSchedule3[[#This Row],[PMT NO]])-ROW(PaymentSchedule3[[#Headers],[PMT NO]])-2)+DAY(LoanStartDate),"")</f>
        <v>54483</v>
      </c>
      <c r="D359" s="7">
        <f>IF(PaymentSchedule3[[#This Row],[PMT NO]]&lt;&gt;"",IF(ROW()-ROW(PaymentSchedule3[[#Headers],[BEGINNING BALANCE]])=1,LoanAmount,INDEX([ENDING BALANCE],ROW()-ROW(PaymentSchedule3[[#Headers],[BEGINNING BALANCE]])-1)),"")</f>
        <v>26048.498382872363</v>
      </c>
      <c r="E359" s="7">
        <f>IF(PaymentSchedule3[[#This Row],[PMT NO]]&lt;&gt;"",ScheduledPayment,"")</f>
        <v>1491.0635231826082</v>
      </c>
      <c r="F35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59" s="7">
        <f>IF(PaymentSchedule3[[#This Row],[PMT NO]]&lt;&gt;"",PaymentSchedule3[[#This Row],[TOTAL PAYMENT]]-PaymentSchedule3[[#This Row],[INTEREST]],"")</f>
        <v>1408.5766116368457</v>
      </c>
      <c r="I359" s="7">
        <f>IF(PaymentSchedule3[[#This Row],[PMT NO]]&lt;&gt;"",PaymentSchedule3[[#This Row],[BEGINNING BALANCE]]*(InterestRate/PaymentsPerYear),"")</f>
        <v>82.486911545762482</v>
      </c>
      <c r="J359" s="7">
        <f>IF(PaymentSchedule3[[#This Row],[PMT NO]]&lt;&gt;"",IF(PaymentSchedule3[[#This Row],[SCHEDULED PAYMENT]]+PaymentSchedule3[[#This Row],[EXTRA PAYMENT]]&lt;=PaymentSchedule3[[#This Row],[BEGINNING BALANCE]],PaymentSchedule3[[#This Row],[BEGINNING BALANCE]]-PaymentSchedule3[[#This Row],[PRINCIPAL]],0),"")</f>
        <v>24639.921771235517</v>
      </c>
      <c r="K359" s="7">
        <f>IF(PaymentSchedule3[[#This Row],[PMT NO]]&lt;&gt;"",SUM(INDEX([INTEREST],1,1):PaymentSchedule3[[#This Row],[INTEREST]]),"")</f>
        <v>216074.71022287017</v>
      </c>
    </row>
    <row r="360" spans="2:11">
      <c r="B360" s="4">
        <f>IF(LoanIsGood,IF(ROW()-ROW(PaymentSchedule3[[#Headers],[PMT NO]])&gt;ScheduledNumberOfPayments,"",ROW()-ROW(PaymentSchedule3[[#Headers],[PMT NO]])),"")</f>
        <v>344</v>
      </c>
      <c r="C360" s="5">
        <f>IF(PaymentSchedule3[[#This Row],[PMT NO]]&lt;&gt;"",EOMONTH(LoanStartDate,ROW(PaymentSchedule3[[#This Row],[PMT NO]])-ROW(PaymentSchedule3[[#Headers],[PMT NO]])-2)+DAY(LoanStartDate),"")</f>
        <v>54514</v>
      </c>
      <c r="D360" s="7">
        <f>IF(PaymentSchedule3[[#This Row],[PMT NO]]&lt;&gt;"",IF(ROW()-ROW(PaymentSchedule3[[#Headers],[BEGINNING BALANCE]])=1,LoanAmount,INDEX([ENDING BALANCE],ROW()-ROW(PaymentSchedule3[[#Headers],[BEGINNING BALANCE]])-1)),"")</f>
        <v>24639.921771235517</v>
      </c>
      <c r="E360" s="7">
        <f>IF(PaymentSchedule3[[#This Row],[PMT NO]]&lt;&gt;"",ScheduledPayment,"")</f>
        <v>1491.0635231826082</v>
      </c>
      <c r="F36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0" s="7">
        <f>IF(PaymentSchedule3[[#This Row],[PMT NO]]&lt;&gt;"",PaymentSchedule3[[#This Row],[TOTAL PAYMENT]]-PaymentSchedule3[[#This Row],[INTEREST]],"")</f>
        <v>1413.0371042403624</v>
      </c>
      <c r="I360" s="7">
        <f>IF(PaymentSchedule3[[#This Row],[PMT NO]]&lt;&gt;"",PaymentSchedule3[[#This Row],[BEGINNING BALANCE]]*(InterestRate/PaymentsPerYear),"")</f>
        <v>78.026418942245797</v>
      </c>
      <c r="J360" s="7">
        <f>IF(PaymentSchedule3[[#This Row],[PMT NO]]&lt;&gt;"",IF(PaymentSchedule3[[#This Row],[SCHEDULED PAYMENT]]+PaymentSchedule3[[#This Row],[EXTRA PAYMENT]]&lt;=PaymentSchedule3[[#This Row],[BEGINNING BALANCE]],PaymentSchedule3[[#This Row],[BEGINNING BALANCE]]-PaymentSchedule3[[#This Row],[PRINCIPAL]],0),"")</f>
        <v>23226.884666995153</v>
      </c>
      <c r="K360" s="7">
        <f>IF(PaymentSchedule3[[#This Row],[PMT NO]]&lt;&gt;"",SUM(INDEX([INTEREST],1,1):PaymentSchedule3[[#This Row],[INTEREST]]),"")</f>
        <v>216152.73664181243</v>
      </c>
    </row>
    <row r="361" spans="2:11">
      <c r="B361" s="4">
        <f>IF(LoanIsGood,IF(ROW()-ROW(PaymentSchedule3[[#Headers],[PMT NO]])&gt;ScheduledNumberOfPayments,"",ROW()-ROW(PaymentSchedule3[[#Headers],[PMT NO]])),"")</f>
        <v>345</v>
      </c>
      <c r="C361" s="5">
        <f>IF(PaymentSchedule3[[#This Row],[PMT NO]]&lt;&gt;"",EOMONTH(LoanStartDate,ROW(PaymentSchedule3[[#This Row],[PMT NO]])-ROW(PaymentSchedule3[[#Headers],[PMT NO]])-2)+DAY(LoanStartDate),"")</f>
        <v>54544</v>
      </c>
      <c r="D361" s="7">
        <f>IF(PaymentSchedule3[[#This Row],[PMT NO]]&lt;&gt;"",IF(ROW()-ROW(PaymentSchedule3[[#Headers],[BEGINNING BALANCE]])=1,LoanAmount,INDEX([ENDING BALANCE],ROW()-ROW(PaymentSchedule3[[#Headers],[BEGINNING BALANCE]])-1)),"")</f>
        <v>23226.884666995153</v>
      </c>
      <c r="E361" s="7">
        <f>IF(PaymentSchedule3[[#This Row],[PMT NO]]&lt;&gt;"",ScheduledPayment,"")</f>
        <v>1491.0635231826082</v>
      </c>
      <c r="F36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1" s="7">
        <f>IF(PaymentSchedule3[[#This Row],[PMT NO]]&lt;&gt;"",PaymentSchedule3[[#This Row],[TOTAL PAYMENT]]-PaymentSchedule3[[#This Row],[INTEREST]],"")</f>
        <v>1417.5117217371235</v>
      </c>
      <c r="I361" s="7">
        <f>IF(PaymentSchedule3[[#This Row],[PMT NO]]&lt;&gt;"",PaymentSchedule3[[#This Row],[BEGINNING BALANCE]]*(InterestRate/PaymentsPerYear),"")</f>
        <v>73.551801445484642</v>
      </c>
      <c r="J361" s="7">
        <f>IF(PaymentSchedule3[[#This Row],[PMT NO]]&lt;&gt;"",IF(PaymentSchedule3[[#This Row],[SCHEDULED PAYMENT]]+PaymentSchedule3[[#This Row],[EXTRA PAYMENT]]&lt;=PaymentSchedule3[[#This Row],[BEGINNING BALANCE]],PaymentSchedule3[[#This Row],[BEGINNING BALANCE]]-PaymentSchedule3[[#This Row],[PRINCIPAL]],0),"")</f>
        <v>21809.37294525803</v>
      </c>
      <c r="K361" s="7">
        <f>IF(PaymentSchedule3[[#This Row],[PMT NO]]&lt;&gt;"",SUM(INDEX([INTEREST],1,1):PaymentSchedule3[[#This Row],[INTEREST]]),"")</f>
        <v>216226.28844325792</v>
      </c>
    </row>
    <row r="362" spans="2:11">
      <c r="B362" s="4">
        <f>IF(LoanIsGood,IF(ROW()-ROW(PaymentSchedule3[[#Headers],[PMT NO]])&gt;ScheduledNumberOfPayments,"",ROW()-ROW(PaymentSchedule3[[#Headers],[PMT NO]])),"")</f>
        <v>346</v>
      </c>
      <c r="C362" s="5">
        <f>IF(PaymentSchedule3[[#This Row],[PMT NO]]&lt;&gt;"",EOMONTH(LoanStartDate,ROW(PaymentSchedule3[[#This Row],[PMT NO]])-ROW(PaymentSchedule3[[#Headers],[PMT NO]])-2)+DAY(LoanStartDate),"")</f>
        <v>54575</v>
      </c>
      <c r="D362" s="7">
        <f>IF(PaymentSchedule3[[#This Row],[PMT NO]]&lt;&gt;"",IF(ROW()-ROW(PaymentSchedule3[[#Headers],[BEGINNING BALANCE]])=1,LoanAmount,INDEX([ENDING BALANCE],ROW()-ROW(PaymentSchedule3[[#Headers],[BEGINNING BALANCE]])-1)),"")</f>
        <v>21809.37294525803</v>
      </c>
      <c r="E362" s="7">
        <f>IF(PaymentSchedule3[[#This Row],[PMT NO]]&lt;&gt;"",ScheduledPayment,"")</f>
        <v>1491.0635231826082</v>
      </c>
      <c r="F36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2" s="7">
        <f>IF(PaymentSchedule3[[#This Row],[PMT NO]]&lt;&gt;"",PaymentSchedule3[[#This Row],[TOTAL PAYMENT]]-PaymentSchedule3[[#This Row],[INTEREST]],"")</f>
        <v>1422.0005088559578</v>
      </c>
      <c r="I362" s="7">
        <f>IF(PaymentSchedule3[[#This Row],[PMT NO]]&lt;&gt;"",PaymentSchedule3[[#This Row],[BEGINNING BALANCE]]*(InterestRate/PaymentsPerYear),"")</f>
        <v>69.063014326650432</v>
      </c>
      <c r="J362" s="7">
        <f>IF(PaymentSchedule3[[#This Row],[PMT NO]]&lt;&gt;"",IF(PaymentSchedule3[[#This Row],[SCHEDULED PAYMENT]]+PaymentSchedule3[[#This Row],[EXTRA PAYMENT]]&lt;=PaymentSchedule3[[#This Row],[BEGINNING BALANCE]],PaymentSchedule3[[#This Row],[BEGINNING BALANCE]]-PaymentSchedule3[[#This Row],[PRINCIPAL]],0),"")</f>
        <v>20387.372436402071</v>
      </c>
      <c r="K362" s="7">
        <f>IF(PaymentSchedule3[[#This Row],[PMT NO]]&lt;&gt;"",SUM(INDEX([INTEREST],1,1):PaymentSchedule3[[#This Row],[INTEREST]]),"")</f>
        <v>216295.35145758456</v>
      </c>
    </row>
    <row r="363" spans="2:11">
      <c r="B363" s="4">
        <f>IF(LoanIsGood,IF(ROW()-ROW(PaymentSchedule3[[#Headers],[PMT NO]])&gt;ScheduledNumberOfPayments,"",ROW()-ROW(PaymentSchedule3[[#Headers],[PMT NO]])),"")</f>
        <v>347</v>
      </c>
      <c r="C363" s="5">
        <f>IF(PaymentSchedule3[[#This Row],[PMT NO]]&lt;&gt;"",EOMONTH(LoanStartDate,ROW(PaymentSchedule3[[#This Row],[PMT NO]])-ROW(PaymentSchedule3[[#Headers],[PMT NO]])-2)+DAY(LoanStartDate),"")</f>
        <v>54605</v>
      </c>
      <c r="D363" s="7">
        <f>IF(PaymentSchedule3[[#This Row],[PMT NO]]&lt;&gt;"",IF(ROW()-ROW(PaymentSchedule3[[#Headers],[BEGINNING BALANCE]])=1,LoanAmount,INDEX([ENDING BALANCE],ROW()-ROW(PaymentSchedule3[[#Headers],[BEGINNING BALANCE]])-1)),"")</f>
        <v>20387.372436402071</v>
      </c>
      <c r="E363" s="7">
        <f>IF(PaymentSchedule3[[#This Row],[PMT NO]]&lt;&gt;"",ScheduledPayment,"")</f>
        <v>1491.0635231826082</v>
      </c>
      <c r="F36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3" s="7">
        <f>IF(PaymentSchedule3[[#This Row],[PMT NO]]&lt;&gt;"",PaymentSchedule3[[#This Row],[TOTAL PAYMENT]]-PaymentSchedule3[[#This Row],[INTEREST]],"")</f>
        <v>1426.503510467335</v>
      </c>
      <c r="I363" s="7">
        <f>IF(PaymentSchedule3[[#This Row],[PMT NO]]&lt;&gt;"",PaymentSchedule3[[#This Row],[BEGINNING BALANCE]]*(InterestRate/PaymentsPerYear),"")</f>
        <v>64.560012715273217</v>
      </c>
      <c r="J363" s="7">
        <f>IF(PaymentSchedule3[[#This Row],[PMT NO]]&lt;&gt;"",IF(PaymentSchedule3[[#This Row],[SCHEDULED PAYMENT]]+PaymentSchedule3[[#This Row],[EXTRA PAYMENT]]&lt;=PaymentSchedule3[[#This Row],[BEGINNING BALANCE]],PaymentSchedule3[[#This Row],[BEGINNING BALANCE]]-PaymentSchedule3[[#This Row],[PRINCIPAL]],0),"")</f>
        <v>18960.868925934737</v>
      </c>
      <c r="K363" s="7">
        <f>IF(PaymentSchedule3[[#This Row],[PMT NO]]&lt;&gt;"",SUM(INDEX([INTEREST],1,1):PaymentSchedule3[[#This Row],[INTEREST]]),"")</f>
        <v>216359.91147029985</v>
      </c>
    </row>
    <row r="364" spans="2:11">
      <c r="B364" s="4">
        <f>IF(LoanIsGood,IF(ROW()-ROW(PaymentSchedule3[[#Headers],[PMT NO]])&gt;ScheduledNumberOfPayments,"",ROW()-ROW(PaymentSchedule3[[#Headers],[PMT NO]])),"")</f>
        <v>348</v>
      </c>
      <c r="C364" s="5">
        <f>IF(PaymentSchedule3[[#This Row],[PMT NO]]&lt;&gt;"",EOMONTH(LoanStartDate,ROW(PaymentSchedule3[[#This Row],[PMT NO]])-ROW(PaymentSchedule3[[#Headers],[PMT NO]])-2)+DAY(LoanStartDate),"")</f>
        <v>54636</v>
      </c>
      <c r="D364" s="7">
        <f>IF(PaymentSchedule3[[#This Row],[PMT NO]]&lt;&gt;"",IF(ROW()-ROW(PaymentSchedule3[[#Headers],[BEGINNING BALANCE]])=1,LoanAmount,INDEX([ENDING BALANCE],ROW()-ROW(PaymentSchedule3[[#Headers],[BEGINNING BALANCE]])-1)),"")</f>
        <v>18960.868925934737</v>
      </c>
      <c r="E364" s="7">
        <f>IF(PaymentSchedule3[[#This Row],[PMT NO]]&lt;&gt;"",ScheduledPayment,"")</f>
        <v>1491.0635231826082</v>
      </c>
      <c r="F36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4" s="7">
        <f>IF(PaymentSchedule3[[#This Row],[PMT NO]]&lt;&gt;"",PaymentSchedule3[[#This Row],[TOTAL PAYMENT]]-PaymentSchedule3[[#This Row],[INTEREST]],"")</f>
        <v>1431.0207715838148</v>
      </c>
      <c r="I364" s="7">
        <f>IF(PaymentSchedule3[[#This Row],[PMT NO]]&lt;&gt;"",PaymentSchedule3[[#This Row],[BEGINNING BALANCE]]*(InterestRate/PaymentsPerYear),"")</f>
        <v>60.04275159879333</v>
      </c>
      <c r="J364" s="7">
        <f>IF(PaymentSchedule3[[#This Row],[PMT NO]]&lt;&gt;"",IF(PaymentSchedule3[[#This Row],[SCHEDULED PAYMENT]]+PaymentSchedule3[[#This Row],[EXTRA PAYMENT]]&lt;=PaymentSchedule3[[#This Row],[BEGINNING BALANCE]],PaymentSchedule3[[#This Row],[BEGINNING BALANCE]]-PaymentSchedule3[[#This Row],[PRINCIPAL]],0),"")</f>
        <v>17529.848154350922</v>
      </c>
      <c r="K364" s="7">
        <f>IF(PaymentSchedule3[[#This Row],[PMT NO]]&lt;&gt;"",SUM(INDEX([INTEREST],1,1):PaymentSchedule3[[#This Row],[INTEREST]]),"")</f>
        <v>216419.95422189863</v>
      </c>
    </row>
    <row r="365" spans="2:11">
      <c r="B365" s="4">
        <f>IF(LoanIsGood,IF(ROW()-ROW(PaymentSchedule3[[#Headers],[PMT NO]])&gt;ScheduledNumberOfPayments,"",ROW()-ROW(PaymentSchedule3[[#Headers],[PMT NO]])),"")</f>
        <v>349</v>
      </c>
      <c r="C365" s="5">
        <f>IF(PaymentSchedule3[[#This Row],[PMT NO]]&lt;&gt;"",EOMONTH(LoanStartDate,ROW(PaymentSchedule3[[#This Row],[PMT NO]])-ROW(PaymentSchedule3[[#Headers],[PMT NO]])-2)+DAY(LoanStartDate),"")</f>
        <v>54667</v>
      </c>
      <c r="D365" s="7">
        <f>IF(PaymentSchedule3[[#This Row],[PMT NO]]&lt;&gt;"",IF(ROW()-ROW(PaymentSchedule3[[#Headers],[BEGINNING BALANCE]])=1,LoanAmount,INDEX([ENDING BALANCE],ROW()-ROW(PaymentSchedule3[[#Headers],[BEGINNING BALANCE]])-1)),"")</f>
        <v>17529.848154350922</v>
      </c>
      <c r="E365" s="7">
        <f>IF(PaymentSchedule3[[#This Row],[PMT NO]]&lt;&gt;"",ScheduledPayment,"")</f>
        <v>1491.0635231826082</v>
      </c>
      <c r="F36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5" s="7">
        <f>IF(PaymentSchedule3[[#This Row],[PMT NO]]&lt;&gt;"",PaymentSchedule3[[#This Row],[TOTAL PAYMENT]]-PaymentSchedule3[[#This Row],[INTEREST]],"")</f>
        <v>1435.5523373604969</v>
      </c>
      <c r="I365" s="7">
        <f>IF(PaymentSchedule3[[#This Row],[PMT NO]]&lt;&gt;"",PaymentSchedule3[[#This Row],[BEGINNING BALANCE]]*(InterestRate/PaymentsPerYear),"")</f>
        <v>55.511185822111251</v>
      </c>
      <c r="J365" s="7">
        <f>IF(PaymentSchedule3[[#This Row],[PMT NO]]&lt;&gt;"",IF(PaymentSchedule3[[#This Row],[SCHEDULED PAYMENT]]+PaymentSchedule3[[#This Row],[EXTRA PAYMENT]]&lt;=PaymentSchedule3[[#This Row],[BEGINNING BALANCE]],PaymentSchedule3[[#This Row],[BEGINNING BALANCE]]-PaymentSchedule3[[#This Row],[PRINCIPAL]],0),"")</f>
        <v>16094.295816990425</v>
      </c>
      <c r="K365" s="7">
        <f>IF(PaymentSchedule3[[#This Row],[PMT NO]]&lt;&gt;"",SUM(INDEX([INTEREST],1,1):PaymentSchedule3[[#This Row],[INTEREST]]),"")</f>
        <v>216475.46540772074</v>
      </c>
    </row>
    <row r="366" spans="2:11">
      <c r="B366" s="4">
        <f>IF(LoanIsGood,IF(ROW()-ROW(PaymentSchedule3[[#Headers],[PMT NO]])&gt;ScheduledNumberOfPayments,"",ROW()-ROW(PaymentSchedule3[[#Headers],[PMT NO]])),"")</f>
        <v>350</v>
      </c>
      <c r="C366" s="5">
        <f>IF(PaymentSchedule3[[#This Row],[PMT NO]]&lt;&gt;"",EOMONTH(LoanStartDate,ROW(PaymentSchedule3[[#This Row],[PMT NO]])-ROW(PaymentSchedule3[[#Headers],[PMT NO]])-2)+DAY(LoanStartDate),"")</f>
        <v>54697</v>
      </c>
      <c r="D366" s="7">
        <f>IF(PaymentSchedule3[[#This Row],[PMT NO]]&lt;&gt;"",IF(ROW()-ROW(PaymentSchedule3[[#Headers],[BEGINNING BALANCE]])=1,LoanAmount,INDEX([ENDING BALANCE],ROW()-ROW(PaymentSchedule3[[#Headers],[BEGINNING BALANCE]])-1)),"")</f>
        <v>16094.295816990425</v>
      </c>
      <c r="E366" s="7">
        <f>IF(PaymentSchedule3[[#This Row],[PMT NO]]&lt;&gt;"",ScheduledPayment,"")</f>
        <v>1491.0635231826082</v>
      </c>
      <c r="F36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6" s="7">
        <f>IF(PaymentSchedule3[[#This Row],[PMT NO]]&lt;&gt;"",PaymentSchedule3[[#This Row],[TOTAL PAYMENT]]-PaymentSchedule3[[#This Row],[INTEREST]],"")</f>
        <v>1440.0982530954718</v>
      </c>
      <c r="I366" s="7">
        <f>IF(PaymentSchedule3[[#This Row],[PMT NO]]&lt;&gt;"",PaymentSchedule3[[#This Row],[BEGINNING BALANCE]]*(InterestRate/PaymentsPerYear),"")</f>
        <v>50.965270087136346</v>
      </c>
      <c r="J366" s="7">
        <f>IF(PaymentSchedule3[[#This Row],[PMT NO]]&lt;&gt;"",IF(PaymentSchedule3[[#This Row],[SCHEDULED PAYMENT]]+PaymentSchedule3[[#This Row],[EXTRA PAYMENT]]&lt;=PaymentSchedule3[[#This Row],[BEGINNING BALANCE]],PaymentSchedule3[[#This Row],[BEGINNING BALANCE]]-PaymentSchedule3[[#This Row],[PRINCIPAL]],0),"")</f>
        <v>14654.197563894953</v>
      </c>
      <c r="K366" s="7">
        <f>IF(PaymentSchedule3[[#This Row],[PMT NO]]&lt;&gt;"",SUM(INDEX([INTEREST],1,1):PaymentSchedule3[[#This Row],[INTEREST]]),"")</f>
        <v>216526.43067780786</v>
      </c>
    </row>
    <row r="367" spans="2:11">
      <c r="B367" s="4">
        <f>IF(LoanIsGood,IF(ROW()-ROW(PaymentSchedule3[[#Headers],[PMT NO]])&gt;ScheduledNumberOfPayments,"",ROW()-ROW(PaymentSchedule3[[#Headers],[PMT NO]])),"")</f>
        <v>351</v>
      </c>
      <c r="C367" s="5">
        <f>IF(PaymentSchedule3[[#This Row],[PMT NO]]&lt;&gt;"",EOMONTH(LoanStartDate,ROW(PaymentSchedule3[[#This Row],[PMT NO]])-ROW(PaymentSchedule3[[#Headers],[PMT NO]])-2)+DAY(LoanStartDate),"")</f>
        <v>54728</v>
      </c>
      <c r="D367" s="7">
        <f>IF(PaymentSchedule3[[#This Row],[PMT NO]]&lt;&gt;"",IF(ROW()-ROW(PaymentSchedule3[[#Headers],[BEGINNING BALANCE]])=1,LoanAmount,INDEX([ENDING BALANCE],ROW()-ROW(PaymentSchedule3[[#Headers],[BEGINNING BALANCE]])-1)),"")</f>
        <v>14654.197563894953</v>
      </c>
      <c r="E367" s="7">
        <f>IF(PaymentSchedule3[[#This Row],[PMT NO]]&lt;&gt;"",ScheduledPayment,"")</f>
        <v>1491.0635231826082</v>
      </c>
      <c r="F367"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7"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7" s="7">
        <f>IF(PaymentSchedule3[[#This Row],[PMT NO]]&lt;&gt;"",PaymentSchedule3[[#This Row],[TOTAL PAYMENT]]-PaymentSchedule3[[#This Row],[INTEREST]],"")</f>
        <v>1444.6585642302741</v>
      </c>
      <c r="I367" s="7">
        <f>IF(PaymentSchedule3[[#This Row],[PMT NO]]&lt;&gt;"",PaymentSchedule3[[#This Row],[BEGINNING BALANCE]]*(InterestRate/PaymentsPerYear),"")</f>
        <v>46.40495895233402</v>
      </c>
      <c r="J367" s="7">
        <f>IF(PaymentSchedule3[[#This Row],[PMT NO]]&lt;&gt;"",IF(PaymentSchedule3[[#This Row],[SCHEDULED PAYMENT]]+PaymentSchedule3[[#This Row],[EXTRA PAYMENT]]&lt;=PaymentSchedule3[[#This Row],[BEGINNING BALANCE]],PaymentSchedule3[[#This Row],[BEGINNING BALANCE]]-PaymentSchedule3[[#This Row],[PRINCIPAL]],0),"")</f>
        <v>13209.538999664679</v>
      </c>
      <c r="K367" s="7">
        <f>IF(PaymentSchedule3[[#This Row],[PMT NO]]&lt;&gt;"",SUM(INDEX([INTEREST],1,1):PaymentSchedule3[[#This Row],[INTEREST]]),"")</f>
        <v>216572.8356367602</v>
      </c>
    </row>
    <row r="368" spans="2:11">
      <c r="B368" s="4">
        <f>IF(LoanIsGood,IF(ROW()-ROW(PaymentSchedule3[[#Headers],[PMT NO]])&gt;ScheduledNumberOfPayments,"",ROW()-ROW(PaymentSchedule3[[#Headers],[PMT NO]])),"")</f>
        <v>352</v>
      </c>
      <c r="C368" s="5">
        <f>IF(PaymentSchedule3[[#This Row],[PMT NO]]&lt;&gt;"",EOMONTH(LoanStartDate,ROW(PaymentSchedule3[[#This Row],[PMT NO]])-ROW(PaymentSchedule3[[#Headers],[PMT NO]])-2)+DAY(LoanStartDate),"")</f>
        <v>54758</v>
      </c>
      <c r="D368" s="7">
        <f>IF(PaymentSchedule3[[#This Row],[PMT NO]]&lt;&gt;"",IF(ROW()-ROW(PaymentSchedule3[[#Headers],[BEGINNING BALANCE]])=1,LoanAmount,INDEX([ENDING BALANCE],ROW()-ROW(PaymentSchedule3[[#Headers],[BEGINNING BALANCE]])-1)),"")</f>
        <v>13209.538999664679</v>
      </c>
      <c r="E368" s="7">
        <f>IF(PaymentSchedule3[[#This Row],[PMT NO]]&lt;&gt;"",ScheduledPayment,"")</f>
        <v>1491.0635231826082</v>
      </c>
      <c r="F368"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8"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8" s="7">
        <f>IF(PaymentSchedule3[[#This Row],[PMT NO]]&lt;&gt;"",PaymentSchedule3[[#This Row],[TOTAL PAYMENT]]-PaymentSchedule3[[#This Row],[INTEREST]],"")</f>
        <v>1449.2333163503367</v>
      </c>
      <c r="I368" s="7">
        <f>IF(PaymentSchedule3[[#This Row],[PMT NO]]&lt;&gt;"",PaymentSchedule3[[#This Row],[BEGINNING BALANCE]]*(InterestRate/PaymentsPerYear),"")</f>
        <v>41.830206832271486</v>
      </c>
      <c r="J368" s="7">
        <f>IF(PaymentSchedule3[[#This Row],[PMT NO]]&lt;&gt;"",IF(PaymentSchedule3[[#This Row],[SCHEDULED PAYMENT]]+PaymentSchedule3[[#This Row],[EXTRA PAYMENT]]&lt;=PaymentSchedule3[[#This Row],[BEGINNING BALANCE]],PaymentSchedule3[[#This Row],[BEGINNING BALANCE]]-PaymentSchedule3[[#This Row],[PRINCIPAL]],0),"")</f>
        <v>11760.305683314342</v>
      </c>
      <c r="K368" s="7">
        <f>IF(PaymentSchedule3[[#This Row],[PMT NO]]&lt;&gt;"",SUM(INDEX([INTEREST],1,1):PaymentSchedule3[[#This Row],[INTEREST]]),"")</f>
        <v>216614.66584359246</v>
      </c>
    </row>
    <row r="369" spans="2:11">
      <c r="B369" s="4">
        <f>IF(LoanIsGood,IF(ROW()-ROW(PaymentSchedule3[[#Headers],[PMT NO]])&gt;ScheduledNumberOfPayments,"",ROW()-ROW(PaymentSchedule3[[#Headers],[PMT NO]])),"")</f>
        <v>353</v>
      </c>
      <c r="C369" s="5">
        <f>IF(PaymentSchedule3[[#This Row],[PMT NO]]&lt;&gt;"",EOMONTH(LoanStartDate,ROW(PaymentSchedule3[[#This Row],[PMT NO]])-ROW(PaymentSchedule3[[#Headers],[PMT NO]])-2)+DAY(LoanStartDate),"")</f>
        <v>54789</v>
      </c>
      <c r="D369" s="7">
        <f>IF(PaymentSchedule3[[#This Row],[PMT NO]]&lt;&gt;"",IF(ROW()-ROW(PaymentSchedule3[[#Headers],[BEGINNING BALANCE]])=1,LoanAmount,INDEX([ENDING BALANCE],ROW()-ROW(PaymentSchedule3[[#Headers],[BEGINNING BALANCE]])-1)),"")</f>
        <v>11760.305683314342</v>
      </c>
      <c r="E369" s="7">
        <f>IF(PaymentSchedule3[[#This Row],[PMT NO]]&lt;&gt;"",ScheduledPayment,"")</f>
        <v>1491.0635231826082</v>
      </c>
      <c r="F369"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9"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69" s="7">
        <f>IF(PaymentSchedule3[[#This Row],[PMT NO]]&lt;&gt;"",PaymentSchedule3[[#This Row],[TOTAL PAYMENT]]-PaymentSchedule3[[#This Row],[INTEREST]],"")</f>
        <v>1453.8225551854462</v>
      </c>
      <c r="I369" s="7">
        <f>IF(PaymentSchedule3[[#This Row],[PMT NO]]&lt;&gt;"",PaymentSchedule3[[#This Row],[BEGINNING BALANCE]]*(InterestRate/PaymentsPerYear),"")</f>
        <v>37.24096799716208</v>
      </c>
      <c r="J369" s="7">
        <f>IF(PaymentSchedule3[[#This Row],[PMT NO]]&lt;&gt;"",IF(PaymentSchedule3[[#This Row],[SCHEDULED PAYMENT]]+PaymentSchedule3[[#This Row],[EXTRA PAYMENT]]&lt;=PaymentSchedule3[[#This Row],[BEGINNING BALANCE]],PaymentSchedule3[[#This Row],[BEGINNING BALANCE]]-PaymentSchedule3[[#This Row],[PRINCIPAL]],0),"")</f>
        <v>10306.483128128895</v>
      </c>
      <c r="K369" s="7">
        <f>IF(PaymentSchedule3[[#This Row],[PMT NO]]&lt;&gt;"",SUM(INDEX([INTEREST],1,1):PaymentSchedule3[[#This Row],[INTEREST]]),"")</f>
        <v>216651.90681158964</v>
      </c>
    </row>
    <row r="370" spans="2:11">
      <c r="B370" s="4">
        <f>IF(LoanIsGood,IF(ROW()-ROW(PaymentSchedule3[[#Headers],[PMT NO]])&gt;ScheduledNumberOfPayments,"",ROW()-ROW(PaymentSchedule3[[#Headers],[PMT NO]])),"")</f>
        <v>354</v>
      </c>
      <c r="C370" s="5">
        <f>IF(PaymentSchedule3[[#This Row],[PMT NO]]&lt;&gt;"",EOMONTH(LoanStartDate,ROW(PaymentSchedule3[[#This Row],[PMT NO]])-ROW(PaymentSchedule3[[#Headers],[PMT NO]])-2)+DAY(LoanStartDate),"")</f>
        <v>54820</v>
      </c>
      <c r="D370" s="7">
        <f>IF(PaymentSchedule3[[#This Row],[PMT NO]]&lt;&gt;"",IF(ROW()-ROW(PaymentSchedule3[[#Headers],[BEGINNING BALANCE]])=1,LoanAmount,INDEX([ENDING BALANCE],ROW()-ROW(PaymentSchedule3[[#Headers],[BEGINNING BALANCE]])-1)),"")</f>
        <v>10306.483128128895</v>
      </c>
      <c r="E370" s="7">
        <f>IF(PaymentSchedule3[[#This Row],[PMT NO]]&lt;&gt;"",ScheduledPayment,"")</f>
        <v>1491.0635231826082</v>
      </c>
      <c r="F370"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0"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70" s="7">
        <f>IF(PaymentSchedule3[[#This Row],[PMT NO]]&lt;&gt;"",PaymentSchedule3[[#This Row],[TOTAL PAYMENT]]-PaymentSchedule3[[#This Row],[INTEREST]],"")</f>
        <v>1458.4263266102</v>
      </c>
      <c r="I370" s="7">
        <f>IF(PaymentSchedule3[[#This Row],[PMT NO]]&lt;&gt;"",PaymentSchedule3[[#This Row],[BEGINNING BALANCE]]*(InterestRate/PaymentsPerYear),"")</f>
        <v>32.637196572408165</v>
      </c>
      <c r="J370" s="7">
        <f>IF(PaymentSchedule3[[#This Row],[PMT NO]]&lt;&gt;"",IF(PaymentSchedule3[[#This Row],[SCHEDULED PAYMENT]]+PaymentSchedule3[[#This Row],[EXTRA PAYMENT]]&lt;=PaymentSchedule3[[#This Row],[BEGINNING BALANCE]],PaymentSchedule3[[#This Row],[BEGINNING BALANCE]]-PaymentSchedule3[[#This Row],[PRINCIPAL]],0),"")</f>
        <v>8848.0568015186946</v>
      </c>
      <c r="K370" s="7">
        <f>IF(PaymentSchedule3[[#This Row],[PMT NO]]&lt;&gt;"",SUM(INDEX([INTEREST],1,1):PaymentSchedule3[[#This Row],[INTEREST]]),"")</f>
        <v>216684.54400816205</v>
      </c>
    </row>
    <row r="371" spans="2:11">
      <c r="B371" s="4">
        <f>IF(LoanIsGood,IF(ROW()-ROW(PaymentSchedule3[[#Headers],[PMT NO]])&gt;ScheduledNumberOfPayments,"",ROW()-ROW(PaymentSchedule3[[#Headers],[PMT NO]])),"")</f>
        <v>355</v>
      </c>
      <c r="C371" s="5">
        <f>IF(PaymentSchedule3[[#This Row],[PMT NO]]&lt;&gt;"",EOMONTH(LoanStartDate,ROW(PaymentSchedule3[[#This Row],[PMT NO]])-ROW(PaymentSchedule3[[#Headers],[PMT NO]])-2)+DAY(LoanStartDate),"")</f>
        <v>54848</v>
      </c>
      <c r="D371" s="7">
        <f>IF(PaymentSchedule3[[#This Row],[PMT NO]]&lt;&gt;"",IF(ROW()-ROW(PaymentSchedule3[[#Headers],[BEGINNING BALANCE]])=1,LoanAmount,INDEX([ENDING BALANCE],ROW()-ROW(PaymentSchedule3[[#Headers],[BEGINNING BALANCE]])-1)),"")</f>
        <v>8848.0568015186946</v>
      </c>
      <c r="E371" s="7">
        <f>IF(PaymentSchedule3[[#This Row],[PMT NO]]&lt;&gt;"",ScheduledPayment,"")</f>
        <v>1491.0635231826082</v>
      </c>
      <c r="F371"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1"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71" s="7">
        <f>IF(PaymentSchedule3[[#This Row],[PMT NO]]&lt;&gt;"",PaymentSchedule3[[#This Row],[TOTAL PAYMENT]]-PaymentSchedule3[[#This Row],[INTEREST]],"")</f>
        <v>1463.0446766444657</v>
      </c>
      <c r="I371" s="7">
        <f>IF(PaymentSchedule3[[#This Row],[PMT NO]]&lt;&gt;"",PaymentSchedule3[[#This Row],[BEGINNING BALANCE]]*(InterestRate/PaymentsPerYear),"")</f>
        <v>28.018846538142533</v>
      </c>
      <c r="J371" s="7">
        <f>IF(PaymentSchedule3[[#This Row],[PMT NO]]&lt;&gt;"",IF(PaymentSchedule3[[#This Row],[SCHEDULED PAYMENT]]+PaymentSchedule3[[#This Row],[EXTRA PAYMENT]]&lt;=PaymentSchedule3[[#This Row],[BEGINNING BALANCE]],PaymentSchedule3[[#This Row],[BEGINNING BALANCE]]-PaymentSchedule3[[#This Row],[PRINCIPAL]],0),"")</f>
        <v>7385.0121248742289</v>
      </c>
      <c r="K371" s="7">
        <f>IF(PaymentSchedule3[[#This Row],[PMT NO]]&lt;&gt;"",SUM(INDEX([INTEREST],1,1):PaymentSchedule3[[#This Row],[INTEREST]]),"")</f>
        <v>216712.5628547002</v>
      </c>
    </row>
    <row r="372" spans="2:11">
      <c r="B372" s="4">
        <f>IF(LoanIsGood,IF(ROW()-ROW(PaymentSchedule3[[#Headers],[PMT NO]])&gt;ScheduledNumberOfPayments,"",ROW()-ROW(PaymentSchedule3[[#Headers],[PMT NO]])),"")</f>
        <v>356</v>
      </c>
      <c r="C372" s="5">
        <f>IF(PaymentSchedule3[[#This Row],[PMT NO]]&lt;&gt;"",EOMONTH(LoanStartDate,ROW(PaymentSchedule3[[#This Row],[PMT NO]])-ROW(PaymentSchedule3[[#Headers],[PMT NO]])-2)+DAY(LoanStartDate),"")</f>
        <v>54879</v>
      </c>
      <c r="D372" s="7">
        <f>IF(PaymentSchedule3[[#This Row],[PMT NO]]&lt;&gt;"",IF(ROW()-ROW(PaymentSchedule3[[#Headers],[BEGINNING BALANCE]])=1,LoanAmount,INDEX([ENDING BALANCE],ROW()-ROW(PaymentSchedule3[[#Headers],[BEGINNING BALANCE]])-1)),"")</f>
        <v>7385.0121248742289</v>
      </c>
      <c r="E372" s="7">
        <f>IF(PaymentSchedule3[[#This Row],[PMT NO]]&lt;&gt;"",ScheduledPayment,"")</f>
        <v>1491.0635231826082</v>
      </c>
      <c r="F372"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2"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72" s="7">
        <f>IF(PaymentSchedule3[[#This Row],[PMT NO]]&lt;&gt;"",PaymentSchedule3[[#This Row],[TOTAL PAYMENT]]-PaymentSchedule3[[#This Row],[INTEREST]],"")</f>
        <v>1467.6776514538399</v>
      </c>
      <c r="I372" s="7">
        <f>IF(PaymentSchedule3[[#This Row],[PMT NO]]&lt;&gt;"",PaymentSchedule3[[#This Row],[BEGINNING BALANCE]]*(InterestRate/PaymentsPerYear),"")</f>
        <v>23.385871728768389</v>
      </c>
      <c r="J372" s="7">
        <f>IF(PaymentSchedule3[[#This Row],[PMT NO]]&lt;&gt;"",IF(PaymentSchedule3[[#This Row],[SCHEDULED PAYMENT]]+PaymentSchedule3[[#This Row],[EXTRA PAYMENT]]&lt;=PaymentSchedule3[[#This Row],[BEGINNING BALANCE]],PaymentSchedule3[[#This Row],[BEGINNING BALANCE]]-PaymentSchedule3[[#This Row],[PRINCIPAL]],0),"")</f>
        <v>5917.3344734203893</v>
      </c>
      <c r="K372" s="7">
        <f>IF(PaymentSchedule3[[#This Row],[PMT NO]]&lt;&gt;"",SUM(INDEX([INTEREST],1,1):PaymentSchedule3[[#This Row],[INTEREST]]),"")</f>
        <v>216735.94872642896</v>
      </c>
    </row>
    <row r="373" spans="2:11">
      <c r="B373" s="4">
        <f>IF(LoanIsGood,IF(ROW()-ROW(PaymentSchedule3[[#Headers],[PMT NO]])&gt;ScheduledNumberOfPayments,"",ROW()-ROW(PaymentSchedule3[[#Headers],[PMT NO]])),"")</f>
        <v>357</v>
      </c>
      <c r="C373" s="5">
        <f>IF(PaymentSchedule3[[#This Row],[PMT NO]]&lt;&gt;"",EOMONTH(LoanStartDate,ROW(PaymentSchedule3[[#This Row],[PMT NO]])-ROW(PaymentSchedule3[[#Headers],[PMT NO]])-2)+DAY(LoanStartDate),"")</f>
        <v>54909</v>
      </c>
      <c r="D373" s="7">
        <f>IF(PaymentSchedule3[[#This Row],[PMT NO]]&lt;&gt;"",IF(ROW()-ROW(PaymentSchedule3[[#Headers],[BEGINNING BALANCE]])=1,LoanAmount,INDEX([ENDING BALANCE],ROW()-ROW(PaymentSchedule3[[#Headers],[BEGINNING BALANCE]])-1)),"")</f>
        <v>5917.3344734203893</v>
      </c>
      <c r="E373" s="7">
        <f>IF(PaymentSchedule3[[#This Row],[PMT NO]]&lt;&gt;"",ScheduledPayment,"")</f>
        <v>1491.0635231826082</v>
      </c>
      <c r="F373"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3"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73" s="7">
        <f>IF(PaymentSchedule3[[#This Row],[PMT NO]]&lt;&gt;"",PaymentSchedule3[[#This Row],[TOTAL PAYMENT]]-PaymentSchedule3[[#This Row],[INTEREST]],"")</f>
        <v>1472.3252973501103</v>
      </c>
      <c r="I373" s="7">
        <f>IF(PaymentSchedule3[[#This Row],[PMT NO]]&lt;&gt;"",PaymentSchedule3[[#This Row],[BEGINNING BALANCE]]*(InterestRate/PaymentsPerYear),"")</f>
        <v>18.7382258324979</v>
      </c>
      <c r="J373" s="7">
        <f>IF(PaymentSchedule3[[#This Row],[PMT NO]]&lt;&gt;"",IF(PaymentSchedule3[[#This Row],[SCHEDULED PAYMENT]]+PaymentSchedule3[[#This Row],[EXTRA PAYMENT]]&lt;=PaymentSchedule3[[#This Row],[BEGINNING BALANCE]],PaymentSchedule3[[#This Row],[BEGINNING BALANCE]]-PaymentSchedule3[[#This Row],[PRINCIPAL]],0),"")</f>
        <v>4445.009176070279</v>
      </c>
      <c r="K373" s="7">
        <f>IF(PaymentSchedule3[[#This Row],[PMT NO]]&lt;&gt;"",SUM(INDEX([INTEREST],1,1):PaymentSchedule3[[#This Row],[INTEREST]]),"")</f>
        <v>216754.68695226146</v>
      </c>
    </row>
    <row r="374" spans="2:11">
      <c r="B374" s="4">
        <f>IF(LoanIsGood,IF(ROW()-ROW(PaymentSchedule3[[#Headers],[PMT NO]])&gt;ScheduledNumberOfPayments,"",ROW()-ROW(PaymentSchedule3[[#Headers],[PMT NO]])),"")</f>
        <v>358</v>
      </c>
      <c r="C374" s="5">
        <f>IF(PaymentSchedule3[[#This Row],[PMT NO]]&lt;&gt;"",EOMONTH(LoanStartDate,ROW(PaymentSchedule3[[#This Row],[PMT NO]])-ROW(PaymentSchedule3[[#Headers],[PMT NO]])-2)+DAY(LoanStartDate),"")</f>
        <v>54940</v>
      </c>
      <c r="D374" s="7">
        <f>IF(PaymentSchedule3[[#This Row],[PMT NO]]&lt;&gt;"",IF(ROW()-ROW(PaymentSchedule3[[#Headers],[BEGINNING BALANCE]])=1,LoanAmount,INDEX([ENDING BALANCE],ROW()-ROW(PaymentSchedule3[[#Headers],[BEGINNING BALANCE]])-1)),"")</f>
        <v>4445.009176070279</v>
      </c>
      <c r="E374" s="7">
        <f>IF(PaymentSchedule3[[#This Row],[PMT NO]]&lt;&gt;"",ScheduledPayment,"")</f>
        <v>1491.0635231826082</v>
      </c>
      <c r="F374"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4"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74" s="7">
        <f>IF(PaymentSchedule3[[#This Row],[PMT NO]]&lt;&gt;"",PaymentSchedule3[[#This Row],[TOTAL PAYMENT]]-PaymentSchedule3[[#This Row],[INTEREST]],"")</f>
        <v>1476.987660791719</v>
      </c>
      <c r="I374" s="7">
        <f>IF(PaymentSchedule3[[#This Row],[PMT NO]]&lt;&gt;"",PaymentSchedule3[[#This Row],[BEGINNING BALANCE]]*(InterestRate/PaymentsPerYear),"")</f>
        <v>14.075862390889217</v>
      </c>
      <c r="J374" s="7">
        <f>IF(PaymentSchedule3[[#This Row],[PMT NO]]&lt;&gt;"",IF(PaymentSchedule3[[#This Row],[SCHEDULED PAYMENT]]+PaymentSchedule3[[#This Row],[EXTRA PAYMENT]]&lt;=PaymentSchedule3[[#This Row],[BEGINNING BALANCE]],PaymentSchedule3[[#This Row],[BEGINNING BALANCE]]-PaymentSchedule3[[#This Row],[PRINCIPAL]],0),"")</f>
        <v>2968.0215152785599</v>
      </c>
      <c r="K374" s="7">
        <f>IF(PaymentSchedule3[[#This Row],[PMT NO]]&lt;&gt;"",SUM(INDEX([INTEREST],1,1):PaymentSchedule3[[#This Row],[INTEREST]]),"")</f>
        <v>216768.76281465235</v>
      </c>
    </row>
    <row r="375" spans="2:11">
      <c r="B375" s="4">
        <f>IF(LoanIsGood,IF(ROW()-ROW(PaymentSchedule3[[#Headers],[PMT NO]])&gt;ScheduledNumberOfPayments,"",ROW()-ROW(PaymentSchedule3[[#Headers],[PMT NO]])),"")</f>
        <v>359</v>
      </c>
      <c r="C375" s="5">
        <f>IF(PaymentSchedule3[[#This Row],[PMT NO]]&lt;&gt;"",EOMONTH(LoanStartDate,ROW(PaymentSchedule3[[#This Row],[PMT NO]])-ROW(PaymentSchedule3[[#Headers],[PMT NO]])-2)+DAY(LoanStartDate),"")</f>
        <v>54970</v>
      </c>
      <c r="D375" s="7">
        <f>IF(PaymentSchedule3[[#This Row],[PMT NO]]&lt;&gt;"",IF(ROW()-ROW(PaymentSchedule3[[#Headers],[BEGINNING BALANCE]])=1,LoanAmount,INDEX([ENDING BALANCE],ROW()-ROW(PaymentSchedule3[[#Headers],[BEGINNING BALANCE]])-1)),"")</f>
        <v>2968.0215152785599</v>
      </c>
      <c r="E375" s="7">
        <f>IF(PaymentSchedule3[[#This Row],[PMT NO]]&lt;&gt;"",ScheduledPayment,"")</f>
        <v>1491.0635231826082</v>
      </c>
      <c r="F375"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5"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1491.0635231826082</v>
      </c>
      <c r="H375" s="7">
        <f>IF(PaymentSchedule3[[#This Row],[PMT NO]]&lt;&gt;"",PaymentSchedule3[[#This Row],[TOTAL PAYMENT]]-PaymentSchedule3[[#This Row],[INTEREST]],"")</f>
        <v>1481.6647883842261</v>
      </c>
      <c r="I375" s="7">
        <f>IF(PaymentSchedule3[[#This Row],[PMT NO]]&lt;&gt;"",PaymentSchedule3[[#This Row],[BEGINNING BALANCE]]*(InterestRate/PaymentsPerYear),"")</f>
        <v>9.3987347983821063</v>
      </c>
      <c r="J375" s="7">
        <f>IF(PaymentSchedule3[[#This Row],[PMT NO]]&lt;&gt;"",IF(PaymentSchedule3[[#This Row],[SCHEDULED PAYMENT]]+PaymentSchedule3[[#This Row],[EXTRA PAYMENT]]&lt;=PaymentSchedule3[[#This Row],[BEGINNING BALANCE]],PaymentSchedule3[[#This Row],[BEGINNING BALANCE]]-PaymentSchedule3[[#This Row],[PRINCIPAL]],0),"")</f>
        <v>1486.3567268943339</v>
      </c>
      <c r="K375" s="7">
        <f>IF(PaymentSchedule3[[#This Row],[PMT NO]]&lt;&gt;"",SUM(INDEX([INTEREST],1,1):PaymentSchedule3[[#This Row],[INTEREST]]),"")</f>
        <v>216778.16154945074</v>
      </c>
    </row>
    <row r="376" spans="2:11">
      <c r="B376" s="4">
        <f>IF(LoanIsGood,IF(ROW()-ROW(PaymentSchedule3[[#Headers],[PMT NO]])&gt;ScheduledNumberOfPayments,"",ROW()-ROW(PaymentSchedule3[[#Headers],[PMT NO]])),"")</f>
        <v>360</v>
      </c>
      <c r="C376" s="5">
        <f>IF(PaymentSchedule3[[#This Row],[PMT NO]]&lt;&gt;"",EOMONTH(LoanStartDate,ROW(PaymentSchedule3[[#This Row],[PMT NO]])-ROW(PaymentSchedule3[[#Headers],[PMT NO]])-2)+DAY(LoanStartDate),"")</f>
        <v>55001</v>
      </c>
      <c r="D376" s="7">
        <f>IF(PaymentSchedule3[[#This Row],[PMT NO]]&lt;&gt;"",IF(ROW()-ROW(PaymentSchedule3[[#Headers],[BEGINNING BALANCE]])=1,LoanAmount,INDEX([ENDING BALANCE],ROW()-ROW(PaymentSchedule3[[#Headers],[BEGINNING BALANCE]])-1)),"")</f>
        <v>1486.3567268943339</v>
      </c>
      <c r="E376" s="7">
        <f>IF(PaymentSchedule3[[#This Row],[PMT NO]]&lt;&gt;"",ScheduledPayment,"")</f>
        <v>1491.0635231826082</v>
      </c>
      <c r="F376" s="7">
        <f>IF(PaymentSchedule3[[#This Row],[PMT NO]]&lt;&gt;"",IF(PaymentSchedule3[[#This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6" s="7">
        <f>IF(PaymentSchedule3[[#This Row],[PMT NO]]&lt;&gt;"",IF(PaymentSchedule3[[#This Row],[SCHEDULED PAYMENT]]+PaymentSchedule3[[#This Row],[EXTRA PAYMENT]]&lt;=PaymentSchedule3[[#This Row],[BEGINNING BALANCE]],PaymentSchedule3[[#This Row],[SCHEDULED PAYMENT]]+PaymentSchedule3[[#This Row],[EXTRA PAYMENT]],PaymentSchedule3[[#This Row],[BEGINNING BALANCE]]),"")</f>
        <v>1486.3567268943339</v>
      </c>
      <c r="H376" s="7">
        <f>IF(PaymentSchedule3[[#This Row],[PMT NO]]&lt;&gt;"",PaymentSchedule3[[#This Row],[TOTAL PAYMENT]]-PaymentSchedule3[[#This Row],[INTEREST]],"")</f>
        <v>1481.6499305925017</v>
      </c>
      <c r="I376" s="7">
        <f>IF(PaymentSchedule3[[#This Row],[PMT NO]]&lt;&gt;"",PaymentSchedule3[[#This Row],[BEGINNING BALANCE]]*(InterestRate/PaymentsPerYear),"")</f>
        <v>4.7067963018320569</v>
      </c>
      <c r="J376" s="7">
        <f>IF(PaymentSchedule3[[#This Row],[PMT NO]]&lt;&gt;"",IF(PaymentSchedule3[[#This Row],[SCHEDULED PAYMENT]]+PaymentSchedule3[[#This Row],[EXTRA PAYMENT]]&lt;=PaymentSchedule3[[#This Row],[BEGINNING BALANCE]],PaymentSchedule3[[#This Row],[BEGINNING BALANCE]]-PaymentSchedule3[[#This Row],[PRINCIPAL]],0),"")</f>
        <v>0</v>
      </c>
      <c r="K376" s="7">
        <f>IF(PaymentSchedule3[[#This Row],[PMT NO]]&lt;&gt;"",SUM(INDEX([INTEREST],1,1):PaymentSchedule3[[#This Row],[INTEREST]]),"")</f>
        <v>216782.86834575256</v>
      </c>
    </row>
  </sheetData>
  <mergeCells count="1">
    <mergeCell ref="B2:N2"/>
  </mergeCells>
  <conditionalFormatting sqref="B17:K376">
    <cfRule type="expression" dxfId="0" priority="1">
      <formula>($B17="")+(($D17=0)*($F17=0))</formula>
    </cfRule>
  </conditionalFormatting>
  <dataValidations count="26">
    <dataValidation allowBlank="1" showInputMessage="1" showErrorMessage="1" prompt="Cumulative interest is automatically updated in this column" sqref="K16"/>
    <dataValidation allowBlank="1" showInputMessage="1" showErrorMessage="1" prompt="Ending balance is automatically updated in this column" sqref="J16"/>
    <dataValidation allowBlank="1" showInputMessage="1" showErrorMessage="1" prompt="Interest is automatically updated in this column" sqref="I16"/>
    <dataValidation allowBlank="1" showInputMessage="1" showErrorMessage="1" prompt="Principal is automatically updated in this column" sqref="H16"/>
    <dataValidation allowBlank="1" showInputMessage="1" showErrorMessage="1" prompt="Total payment is automatically updated in this column" sqref="G16"/>
    <dataValidation allowBlank="1" showInputMessage="1" showErrorMessage="1" prompt="Extra payment is automatically updated in this column" sqref="F16"/>
    <dataValidation allowBlank="1" showInputMessage="1" showErrorMessage="1" prompt="Scheduled payment is automatically updated in this column" sqref="E16"/>
    <dataValidation allowBlank="1" showInputMessage="1" showErrorMessage="1" prompt="Beginning balance is automatically updated in this column" sqref="D16"/>
    <dataValidation allowBlank="1" showInputMessage="1" showErrorMessage="1" prompt="Payment date is automatically updated in this column" sqref="C16"/>
    <dataValidation allowBlank="1" showInputMessage="1" showErrorMessage="1" prompt="Payment number is automatically updated in this column" sqref="B16"/>
    <dataValidation allowBlank="1" showInputMessage="1" showErrorMessage="1" prompt="Worksheet title is in this cell. Enter loan values in cells E3 to E7 &amp; extra payments in cell E9, loan summary in column I &amp; Payment Schedule table will automatically update" sqref="B4"/>
    <dataValidation allowBlank="1" showInputMessage="1" showErrorMessage="1" prompt="This workbook produces a loan amortization schedule that calculates total interest and total payments &amp; includes the option for extra payments" sqref="A4"/>
    <dataValidation allowBlank="1" showInputMessage="1" showErrorMessage="1" prompt="Enter the amount of extra payment in this cell" sqref="D14 E15"/>
    <dataValidation allowBlank="1" showInputMessage="1" showErrorMessage="1" prompt="Enter loan values in cells E3 to E7 and E9. Description of each loan value is in column C. Payment Schedule table starting in cell B11 will automatically update" sqref="B5:B8"/>
    <dataValidation allowBlank="1" showInputMessage="1" showErrorMessage="1" prompt="Enter the start date of loan in this cell" sqref="D13"/>
    <dataValidation allowBlank="1" showInputMessage="1" showErrorMessage="1" prompt="Enter the number of payments to be made in a year in this cell" sqref="D12"/>
    <dataValidation allowBlank="1" showInputMessage="1" showErrorMessage="1" prompt="Enter loan period in years in this cell" sqref="D11"/>
    <dataValidation allowBlank="1" showInputMessage="1" showErrorMessage="1" prompt="Enter interest rate to be paid annually in this cell" sqref="D10"/>
    <dataValidation allowBlank="1" showInputMessage="1" showErrorMessage="1" prompt="Enter Loan Amount in this cell" sqref="D8:D9 D6"/>
    <dataValidation allowBlank="1" showInputMessage="1" showErrorMessage="1" prompt="Loan Summary fields from I3 to I7 are automatically adjusted based on the values entered. Enter the Lender's name in I9" sqref="F5"/>
    <dataValidation allowBlank="1" showInputMessage="1" showErrorMessage="1" prompt="Enter the name of the lender in this cell" sqref="G12:H12"/>
    <dataValidation allowBlank="1" showInputMessage="1" showErrorMessage="1" prompt="Automatically updated total early payments" sqref="H9:H10"/>
    <dataValidation allowBlank="1" showInputMessage="1" showErrorMessage="1" prompt="Automatically updated actual number of payments" sqref="H8"/>
    <dataValidation allowBlank="1" showInputMessage="1" showErrorMessage="1" prompt="Automatically updated scheduled number of payments" sqref="H7"/>
    <dataValidation allowBlank="1" showInputMessage="1" showErrorMessage="1" prompt="Automatically updated scheduled payment amount" sqref="H6"/>
    <dataValidation allowBlank="1" showInputMessage="1" showErrorMessage="1" prompt="Automatically calculated total interest" sqref="H11"/>
  </dataValidations>
  <hyperlinks>
    <hyperlink ref="C10" r:id="rId1"/>
  </hyperlinks>
  <printOptions horizontalCentered="1"/>
  <pageMargins left="0.4" right="0.4" top="0.4" bottom="0.5" header="0.3" footer="0.3"/>
  <pageSetup scale="79" fitToHeight="0" orientation="landscape" r:id="rId2"/>
  <headerFooter differentFirst="1">
    <oddFooter>Page &amp;P of &amp;N</oddFooter>
  </headerFooter>
  <tableParts count="1">
    <tablePart r:id="rId3"/>
  </tableParts>
</worksheet>
</file>

<file path=xl/worksheets/sheet5.xml><?xml version="1.0" encoding="utf-8"?>
<worksheet xmlns="http://schemas.openxmlformats.org/spreadsheetml/2006/main" xmlns:r="http://schemas.openxmlformats.org/officeDocument/2006/relationships">
  <sheetPr>
    <tabColor theme="5"/>
  </sheetPr>
  <dimension ref="B1:U399"/>
  <sheetViews>
    <sheetView tabSelected="1" zoomScaleNormal="100" workbookViewId="0">
      <selection activeCell="F8" sqref="F8"/>
    </sheetView>
  </sheetViews>
  <sheetFormatPr defaultRowHeight="14.25"/>
  <cols>
    <col min="1" max="1" width="3.5" customWidth="1"/>
    <col min="4" max="4" width="10" bestFit="1" customWidth="1"/>
    <col min="5" max="5" width="13.625" bestFit="1" customWidth="1"/>
    <col min="6" max="6" width="10.625" bestFit="1" customWidth="1"/>
    <col min="7" max="7" width="4.5" customWidth="1"/>
    <col min="8" max="8" width="10" bestFit="1" customWidth="1"/>
    <col min="9" max="9" width="4" customWidth="1"/>
    <col min="10" max="11" width="14.75" bestFit="1" customWidth="1"/>
    <col min="12" max="12" width="19" customWidth="1"/>
    <col min="13" max="13" width="4.375" customWidth="1"/>
    <col min="14" max="14" width="11.875" bestFit="1" customWidth="1"/>
    <col min="15" max="15" width="3.125" customWidth="1"/>
    <col min="16" max="16" width="14.75" bestFit="1" customWidth="1"/>
    <col min="17" max="17" width="17.25" bestFit="1" customWidth="1"/>
    <col min="18" max="19" width="13.625" bestFit="1" customWidth="1"/>
    <col min="20" max="20" width="13.625" customWidth="1"/>
    <col min="21" max="21" width="15.125" customWidth="1"/>
  </cols>
  <sheetData>
    <row r="1" spans="2:21" ht="15" thickBot="1"/>
    <row r="2" spans="2:21" ht="48" customHeight="1">
      <c r="B2" s="92" t="s">
        <v>138</v>
      </c>
      <c r="C2" s="93"/>
      <c r="D2" s="93"/>
      <c r="E2" s="93"/>
      <c r="F2" s="93"/>
      <c r="G2" s="93"/>
      <c r="H2" s="93"/>
      <c r="I2" s="93"/>
      <c r="J2" s="93"/>
      <c r="K2" s="93"/>
      <c r="L2" s="93"/>
      <c r="M2" s="93"/>
      <c r="N2" s="93"/>
      <c r="O2" s="93"/>
      <c r="P2" s="93"/>
      <c r="Q2" s="93"/>
      <c r="R2" s="93"/>
      <c r="S2" s="94"/>
      <c r="T2" s="74"/>
    </row>
    <row r="3" spans="2:21" ht="48" customHeight="1" thickBot="1">
      <c r="B3" s="95"/>
      <c r="C3" s="96"/>
      <c r="D3" s="96"/>
      <c r="E3" s="96"/>
      <c r="F3" s="96"/>
      <c r="G3" s="96"/>
      <c r="H3" s="96"/>
      <c r="I3" s="96"/>
      <c r="J3" s="96"/>
      <c r="K3" s="96"/>
      <c r="L3" s="96"/>
      <c r="M3" s="96"/>
      <c r="N3" s="96"/>
      <c r="O3" s="96"/>
      <c r="P3" s="96"/>
      <c r="Q3" s="96"/>
      <c r="R3" s="96"/>
      <c r="S3" s="97"/>
      <c r="T3" s="74"/>
    </row>
    <row r="4" spans="2:21" ht="15" thickBot="1"/>
    <row r="5" spans="2:21" ht="16.5" thickTop="1" thickBot="1">
      <c r="B5" s="102" t="s">
        <v>28</v>
      </c>
      <c r="C5" s="103"/>
      <c r="D5" s="104"/>
      <c r="E5" s="71">
        <f>'Primary Residence Mortgage'!D6</f>
        <v>400000</v>
      </c>
      <c r="H5" s="59" t="s">
        <v>126</v>
      </c>
      <c r="I5" s="62"/>
      <c r="J5" s="59" t="s">
        <v>122</v>
      </c>
      <c r="K5" s="59" t="s">
        <v>123</v>
      </c>
      <c r="L5" s="59" t="s">
        <v>143</v>
      </c>
    </row>
    <row r="6" spans="2:21" ht="15.75" thickTop="1">
      <c r="B6" s="99" t="s">
        <v>116</v>
      </c>
      <c r="C6" s="100"/>
      <c r="D6" s="101"/>
      <c r="E6" s="67">
        <f>'Primary Residence Mortgage'!D8</f>
        <v>80000</v>
      </c>
      <c r="H6" s="62" t="s">
        <v>127</v>
      </c>
      <c r="I6" s="62"/>
      <c r="J6" s="63">
        <f>L75</f>
        <v>128840.80000000006</v>
      </c>
      <c r="K6" s="63">
        <f>S75</f>
        <v>185975.76392178622</v>
      </c>
      <c r="L6" s="78">
        <f>K6-J6-K6*$E$13</f>
        <v>44116.660447261122</v>
      </c>
    </row>
    <row r="7" spans="2:21" ht="15">
      <c r="B7" s="99" t="s">
        <v>106</v>
      </c>
      <c r="C7" s="100"/>
      <c r="D7" s="101"/>
      <c r="E7" s="68">
        <v>0.03</v>
      </c>
      <c r="H7" s="62" t="s">
        <v>128</v>
      </c>
      <c r="I7" s="62"/>
      <c r="J7" s="63">
        <f>L135</f>
        <v>207499.39680800019</v>
      </c>
      <c r="K7" s="63">
        <f>S135</f>
        <v>339771.84522889578</v>
      </c>
      <c r="L7" s="78">
        <f t="shared" ref="L7:L11" si="0">K7-J7-K7*$E$13</f>
        <v>108488.41925487288</v>
      </c>
    </row>
    <row r="8" spans="2:21" ht="15">
      <c r="B8" s="66"/>
      <c r="C8" s="64"/>
      <c r="D8" s="65"/>
      <c r="E8" s="69"/>
      <c r="H8" s="62" t="s">
        <v>129</v>
      </c>
      <c r="I8" s="62"/>
      <c r="J8" s="63">
        <f>L195</f>
        <v>334179.85355325253</v>
      </c>
      <c r="K8" s="63">
        <f>S195</f>
        <v>567616.04573892301</v>
      </c>
      <c r="L8" s="78">
        <f t="shared" si="0"/>
        <v>193703.06898394588</v>
      </c>
    </row>
    <row r="9" spans="2:21">
      <c r="B9" s="99" t="s">
        <v>40</v>
      </c>
      <c r="C9" s="100"/>
      <c r="D9" s="101"/>
      <c r="E9" s="70">
        <v>2250</v>
      </c>
      <c r="H9" s="60" t="s">
        <v>130</v>
      </c>
      <c r="I9" s="60"/>
      <c r="J9" s="61">
        <f>L255</f>
        <v>538199.99594604899</v>
      </c>
      <c r="K9" s="61">
        <f>S255</f>
        <v>911692.62632549787</v>
      </c>
      <c r="L9" s="19">
        <f t="shared" si="0"/>
        <v>309674.14653666399</v>
      </c>
    </row>
    <row r="10" spans="2:21">
      <c r="B10" s="99" t="s">
        <v>107</v>
      </c>
      <c r="C10" s="100"/>
      <c r="D10" s="101"/>
      <c r="E10" s="68">
        <v>2.5000000000000001E-2</v>
      </c>
      <c r="H10" s="60" t="s">
        <v>131</v>
      </c>
      <c r="I10" s="60"/>
      <c r="J10" s="61">
        <f>L315</f>
        <v>866776.47547107167</v>
      </c>
      <c r="K10" s="61">
        <f>S315</f>
        <v>1440243.4899034225</v>
      </c>
      <c r="L10" s="19">
        <f t="shared" si="0"/>
        <v>472649.97013911128</v>
      </c>
    </row>
    <row r="11" spans="2:21">
      <c r="B11" s="66"/>
      <c r="C11" s="64"/>
      <c r="D11" s="65"/>
      <c r="E11" s="69"/>
      <c r="H11" s="60" t="s">
        <v>132</v>
      </c>
      <c r="I11" s="60"/>
      <c r="J11" s="61">
        <f>L375</f>
        <v>1395952.1815109162</v>
      </c>
      <c r="K11" s="61">
        <f>S375</f>
        <v>2264148.8379031229</v>
      </c>
      <c r="L11" s="19">
        <f t="shared" si="0"/>
        <v>709706.23773898801</v>
      </c>
    </row>
    <row r="12" spans="2:21">
      <c r="B12" s="99" t="s">
        <v>115</v>
      </c>
      <c r="C12" s="100"/>
      <c r="D12" s="101"/>
      <c r="E12" s="76">
        <v>0.1</v>
      </c>
    </row>
    <row r="13" spans="2:21" ht="15" thickBot="1">
      <c r="B13" s="105" t="s">
        <v>142</v>
      </c>
      <c r="C13" s="106"/>
      <c r="D13" s="107"/>
      <c r="E13" s="77">
        <v>7.0000000000000007E-2</v>
      </c>
    </row>
    <row r="14" spans="2:21" ht="21.75" thickTop="1" thickBot="1">
      <c r="H14" s="91" t="s">
        <v>122</v>
      </c>
      <c r="I14" s="91"/>
      <c r="J14" s="91"/>
      <c r="K14" s="91"/>
      <c r="L14" s="91"/>
      <c r="N14" s="91" t="s">
        <v>123</v>
      </c>
      <c r="O14" s="91"/>
      <c r="P14" s="91"/>
      <c r="Q14" s="91"/>
      <c r="R14" s="91"/>
      <c r="S14" s="91"/>
      <c r="T14" s="75"/>
    </row>
    <row r="15" spans="2:21" ht="29.25" thickTop="1">
      <c r="B15" t="s">
        <v>103</v>
      </c>
      <c r="C15" t="s">
        <v>104</v>
      </c>
      <c r="D15" t="s">
        <v>40</v>
      </c>
      <c r="E15" t="s">
        <v>105</v>
      </c>
      <c r="F15" t="s">
        <v>114</v>
      </c>
      <c r="H15" s="27" t="s">
        <v>119</v>
      </c>
      <c r="I15" s="27"/>
      <c r="J15" s="27" t="s">
        <v>118</v>
      </c>
      <c r="K15" s="27" t="s">
        <v>117</v>
      </c>
      <c r="L15" s="27" t="s">
        <v>125</v>
      </c>
      <c r="M15" s="27"/>
      <c r="N15" s="27" t="s">
        <v>120</v>
      </c>
      <c r="O15" s="27"/>
      <c r="P15" s="27" t="s">
        <v>121</v>
      </c>
      <c r="Q15" s="27" t="s">
        <v>124</v>
      </c>
      <c r="R15" s="27" t="s">
        <v>101</v>
      </c>
      <c r="S15" s="27" t="s">
        <v>125</v>
      </c>
      <c r="T15" s="27" t="s">
        <v>136</v>
      </c>
      <c r="U15" s="27" t="s">
        <v>137</v>
      </c>
    </row>
    <row r="16" spans="2:21">
      <c r="B16" s="98">
        <v>1</v>
      </c>
      <c r="C16">
        <v>1</v>
      </c>
      <c r="D16" s="19">
        <f>E9</f>
        <v>2250</v>
      </c>
      <c r="E16" s="19">
        <f>'Primary Residence Mortgage'!K12</f>
        <v>2216.0635231826082</v>
      </c>
      <c r="F16" s="19">
        <f>D16-E16</f>
        <v>33.936476817391849</v>
      </c>
      <c r="G16" s="19"/>
      <c r="H16" s="19">
        <f>IF(F16&lt;0,-F16,0)</f>
        <v>0</v>
      </c>
      <c r="I16" s="19"/>
      <c r="J16" s="19">
        <f>H16*(1+$E$12/12)</f>
        <v>0</v>
      </c>
      <c r="K16" s="19"/>
      <c r="L16" s="19"/>
      <c r="M16" s="19"/>
      <c r="N16" s="19">
        <f>IF(F16&gt;0,F16,0)</f>
        <v>33.936476817391849</v>
      </c>
      <c r="O16" s="19"/>
      <c r="P16" s="19">
        <f>N16*(1+$E$12/12)</f>
        <v>34.219280790870116</v>
      </c>
      <c r="Q16" s="19">
        <f>$E$5*(1+$E$7/12*C16)</f>
        <v>401000</v>
      </c>
      <c r="R16" s="19">
        <f>Q16-'Primary Residence Mortgage'!J17</f>
        <v>81477.730189849273</v>
      </c>
      <c r="S16" s="57">
        <f>P16+R16</f>
        <v>81511.949470640146</v>
      </c>
      <c r="T16" s="19">
        <f>Q16*0.8-'Primary Residence Mortgage'!J17</f>
        <v>1277.7301898492733</v>
      </c>
    </row>
    <row r="17" spans="2:20">
      <c r="B17" s="98"/>
      <c r="C17">
        <v>2</v>
      </c>
      <c r="D17" s="19">
        <f>D16</f>
        <v>2250</v>
      </c>
      <c r="E17" s="19">
        <f>E16</f>
        <v>2216.0635231826082</v>
      </c>
      <c r="F17" s="19">
        <f t="shared" ref="F17:F80" si="1">D17-E17</f>
        <v>33.936476817391849</v>
      </c>
      <c r="G17" s="19"/>
      <c r="H17" s="19">
        <f t="shared" ref="H17:H80" si="2">IF(F17&lt;0,-F17,0)</f>
        <v>0</v>
      </c>
      <c r="I17" s="19"/>
      <c r="J17" s="19">
        <f t="shared" ref="J17:J80" si="3">(J16+H17)*(1+$E$12/12)</f>
        <v>0</v>
      </c>
      <c r="M17" s="19"/>
      <c r="N17" s="19">
        <f t="shared" ref="N17:N80" si="4">IF(F17&gt;0,F17,0)</f>
        <v>33.936476817391849</v>
      </c>
      <c r="O17" s="19"/>
      <c r="P17" s="19">
        <f t="shared" ref="P17:P80" si="5">(P16+N17)*(1+$E$12/12)</f>
        <v>68.723722254997483</v>
      </c>
      <c r="Q17" s="19">
        <f t="shared" ref="Q17:Q38" si="6">$E$5*(1+$E$7/12*C17)</f>
        <v>401999.99999999994</v>
      </c>
    </row>
    <row r="18" spans="2:20">
      <c r="B18" s="98"/>
      <c r="C18">
        <v>3</v>
      </c>
      <c r="D18" s="19">
        <f t="shared" ref="D18:D27" si="7">D17</f>
        <v>2250</v>
      </c>
      <c r="E18" s="19">
        <f t="shared" ref="E18:E81" si="8">E17</f>
        <v>2216.0635231826082</v>
      </c>
      <c r="F18" s="19">
        <f t="shared" si="1"/>
        <v>33.936476817391849</v>
      </c>
      <c r="G18" s="19"/>
      <c r="H18" s="19">
        <f t="shared" si="2"/>
        <v>0</v>
      </c>
      <c r="I18" s="19"/>
      <c r="J18" s="19">
        <f t="shared" si="3"/>
        <v>0</v>
      </c>
      <c r="M18" s="19"/>
      <c r="N18" s="19">
        <f t="shared" si="4"/>
        <v>33.936476817391849</v>
      </c>
      <c r="O18" s="19"/>
      <c r="P18" s="19">
        <f t="shared" si="5"/>
        <v>103.51570073132591</v>
      </c>
      <c r="Q18" s="19">
        <f t="shared" si="6"/>
        <v>403000</v>
      </c>
    </row>
    <row r="19" spans="2:20">
      <c r="B19" s="98"/>
      <c r="C19">
        <v>4</v>
      </c>
      <c r="D19" s="19">
        <f t="shared" si="7"/>
        <v>2250</v>
      </c>
      <c r="E19" s="19">
        <f t="shared" si="8"/>
        <v>2216.0635231826082</v>
      </c>
      <c r="F19" s="19">
        <f t="shared" si="1"/>
        <v>33.936476817391849</v>
      </c>
      <c r="G19" s="19"/>
      <c r="H19" s="19">
        <f t="shared" si="2"/>
        <v>0</v>
      </c>
      <c r="I19" s="19"/>
      <c r="J19" s="19">
        <f t="shared" si="3"/>
        <v>0</v>
      </c>
      <c r="M19" s="19"/>
      <c r="N19" s="19">
        <f t="shared" si="4"/>
        <v>33.936476817391849</v>
      </c>
      <c r="O19" s="19"/>
      <c r="P19" s="19">
        <f t="shared" si="5"/>
        <v>138.59761236162376</v>
      </c>
      <c r="Q19" s="19">
        <f t="shared" si="6"/>
        <v>404000</v>
      </c>
    </row>
    <row r="20" spans="2:20">
      <c r="B20" s="98"/>
      <c r="C20">
        <v>5</v>
      </c>
      <c r="D20" s="19">
        <f t="shared" si="7"/>
        <v>2250</v>
      </c>
      <c r="E20" s="19">
        <f t="shared" si="8"/>
        <v>2216.0635231826082</v>
      </c>
      <c r="F20" s="19">
        <f t="shared" si="1"/>
        <v>33.936476817391849</v>
      </c>
      <c r="G20" s="19"/>
      <c r="H20" s="19">
        <f t="shared" si="2"/>
        <v>0</v>
      </c>
      <c r="I20" s="19"/>
      <c r="J20" s="19">
        <f t="shared" si="3"/>
        <v>0</v>
      </c>
      <c r="M20" s="19"/>
      <c r="N20" s="19">
        <f t="shared" si="4"/>
        <v>33.936476817391849</v>
      </c>
      <c r="O20" s="19"/>
      <c r="P20" s="19">
        <f t="shared" si="5"/>
        <v>173.9718732555074</v>
      </c>
      <c r="Q20" s="19">
        <f t="shared" si="6"/>
        <v>405000</v>
      </c>
    </row>
    <row r="21" spans="2:20">
      <c r="B21" s="98"/>
      <c r="C21">
        <v>6</v>
      </c>
      <c r="D21" s="19">
        <f t="shared" si="7"/>
        <v>2250</v>
      </c>
      <c r="E21" s="19">
        <f t="shared" si="8"/>
        <v>2216.0635231826082</v>
      </c>
      <c r="F21" s="19">
        <f t="shared" si="1"/>
        <v>33.936476817391849</v>
      </c>
      <c r="G21" s="19"/>
      <c r="H21" s="19">
        <f t="shared" si="2"/>
        <v>0</v>
      </c>
      <c r="I21" s="19"/>
      <c r="J21" s="19">
        <f t="shared" si="3"/>
        <v>0</v>
      </c>
      <c r="M21" s="19"/>
      <c r="N21" s="19">
        <f t="shared" si="4"/>
        <v>33.936476817391849</v>
      </c>
      <c r="O21" s="19"/>
      <c r="P21" s="19">
        <f t="shared" si="5"/>
        <v>209.64091965684008</v>
      </c>
      <c r="Q21" s="19">
        <f t="shared" si="6"/>
        <v>405999.99999999994</v>
      </c>
    </row>
    <row r="22" spans="2:20">
      <c r="B22" s="98"/>
      <c r="C22">
        <v>7</v>
      </c>
      <c r="D22" s="19">
        <f t="shared" si="7"/>
        <v>2250</v>
      </c>
      <c r="E22" s="19">
        <f t="shared" si="8"/>
        <v>2216.0635231826082</v>
      </c>
      <c r="F22" s="19">
        <f t="shared" si="1"/>
        <v>33.936476817391849</v>
      </c>
      <c r="G22" s="19"/>
      <c r="H22" s="19">
        <f t="shared" si="2"/>
        <v>0</v>
      </c>
      <c r="I22" s="19"/>
      <c r="J22" s="19">
        <f t="shared" si="3"/>
        <v>0</v>
      </c>
      <c r="M22" s="19"/>
      <c r="N22" s="19">
        <f t="shared" si="4"/>
        <v>33.936476817391849</v>
      </c>
      <c r="O22" s="19"/>
      <c r="P22" s="19">
        <f t="shared" si="5"/>
        <v>245.6072081115172</v>
      </c>
      <c r="Q22" s="19">
        <f t="shared" si="6"/>
        <v>407000</v>
      </c>
    </row>
    <row r="23" spans="2:20">
      <c r="B23" s="98"/>
      <c r="C23">
        <v>8</v>
      </c>
      <c r="D23" s="19">
        <f t="shared" si="7"/>
        <v>2250</v>
      </c>
      <c r="E23" s="19">
        <f t="shared" si="8"/>
        <v>2216.0635231826082</v>
      </c>
      <c r="F23" s="19">
        <f t="shared" si="1"/>
        <v>33.936476817391849</v>
      </c>
      <c r="G23" s="19"/>
      <c r="H23" s="19">
        <f t="shared" si="2"/>
        <v>0</v>
      </c>
      <c r="I23" s="19"/>
      <c r="J23" s="19">
        <f t="shared" si="3"/>
        <v>0</v>
      </c>
      <c r="M23" s="19"/>
      <c r="N23" s="19">
        <f t="shared" si="4"/>
        <v>33.936476817391849</v>
      </c>
      <c r="O23" s="19"/>
      <c r="P23" s="19">
        <f t="shared" si="5"/>
        <v>281.87321563664995</v>
      </c>
      <c r="Q23" s="19">
        <f t="shared" si="6"/>
        <v>408000</v>
      </c>
    </row>
    <row r="24" spans="2:20">
      <c r="B24" s="98"/>
      <c r="C24">
        <v>9</v>
      </c>
      <c r="D24" s="19">
        <f t="shared" si="7"/>
        <v>2250</v>
      </c>
      <c r="E24" s="19">
        <f t="shared" si="8"/>
        <v>2216.0635231826082</v>
      </c>
      <c r="F24" s="19">
        <f t="shared" si="1"/>
        <v>33.936476817391849</v>
      </c>
      <c r="G24" s="19"/>
      <c r="H24" s="19">
        <f t="shared" si="2"/>
        <v>0</v>
      </c>
      <c r="I24" s="19"/>
      <c r="J24" s="19">
        <f t="shared" si="3"/>
        <v>0</v>
      </c>
      <c r="M24" s="19"/>
      <c r="N24" s="19">
        <f t="shared" si="4"/>
        <v>33.936476817391849</v>
      </c>
      <c r="O24" s="19"/>
      <c r="P24" s="19">
        <f t="shared" si="5"/>
        <v>318.44143989115878</v>
      </c>
      <c r="Q24" s="19">
        <f t="shared" si="6"/>
        <v>409000</v>
      </c>
    </row>
    <row r="25" spans="2:20">
      <c r="B25" s="98"/>
      <c r="C25">
        <v>10</v>
      </c>
      <c r="D25" s="19">
        <f t="shared" si="7"/>
        <v>2250</v>
      </c>
      <c r="E25" s="19">
        <f t="shared" si="8"/>
        <v>2216.0635231826082</v>
      </c>
      <c r="F25" s="19">
        <f t="shared" si="1"/>
        <v>33.936476817391849</v>
      </c>
      <c r="G25" s="19"/>
      <c r="H25" s="19">
        <f t="shared" si="2"/>
        <v>0</v>
      </c>
      <c r="I25" s="19"/>
      <c r="J25" s="19">
        <f t="shared" si="3"/>
        <v>0</v>
      </c>
      <c r="M25" s="19"/>
      <c r="N25" s="19">
        <f t="shared" si="4"/>
        <v>33.936476817391849</v>
      </c>
      <c r="O25" s="19"/>
      <c r="P25" s="19">
        <f t="shared" si="5"/>
        <v>355.31439934778854</v>
      </c>
      <c r="Q25" s="19">
        <f t="shared" si="6"/>
        <v>409999.99999999994</v>
      </c>
    </row>
    <row r="26" spans="2:20">
      <c r="B26" s="98"/>
      <c r="C26">
        <v>11</v>
      </c>
      <c r="D26" s="19">
        <f t="shared" si="7"/>
        <v>2250</v>
      </c>
      <c r="E26" s="19">
        <f t="shared" si="8"/>
        <v>2216.0635231826082</v>
      </c>
      <c r="F26" s="19">
        <f t="shared" si="1"/>
        <v>33.936476817391849</v>
      </c>
      <c r="G26" s="19"/>
      <c r="H26" s="19">
        <f t="shared" si="2"/>
        <v>0</v>
      </c>
      <c r="I26" s="19"/>
      <c r="J26" s="19">
        <f t="shared" si="3"/>
        <v>0</v>
      </c>
      <c r="M26" s="19"/>
      <c r="N26" s="19">
        <f t="shared" si="4"/>
        <v>33.936476817391849</v>
      </c>
      <c r="O26" s="19"/>
      <c r="P26" s="19">
        <f t="shared" si="5"/>
        <v>392.49463346655688</v>
      </c>
      <c r="Q26" s="19">
        <f t="shared" si="6"/>
        <v>411000.00000000006</v>
      </c>
    </row>
    <row r="27" spans="2:20">
      <c r="B27" s="98"/>
      <c r="C27">
        <v>12</v>
      </c>
      <c r="D27" s="19">
        <f t="shared" si="7"/>
        <v>2250</v>
      </c>
      <c r="E27" s="19">
        <f t="shared" si="8"/>
        <v>2216.0635231826082</v>
      </c>
      <c r="F27" s="19">
        <f t="shared" si="1"/>
        <v>33.936476817391849</v>
      </c>
      <c r="G27" s="19"/>
      <c r="H27" s="19">
        <f t="shared" si="2"/>
        <v>0</v>
      </c>
      <c r="I27" s="19"/>
      <c r="J27" s="19">
        <f t="shared" si="3"/>
        <v>0</v>
      </c>
      <c r="K27" s="57">
        <f>E6*(1+$E$12)</f>
        <v>88000</v>
      </c>
      <c r="L27" s="57">
        <f>J27+K27</f>
        <v>88000</v>
      </c>
      <c r="M27" s="19"/>
      <c r="N27" s="19">
        <f t="shared" si="4"/>
        <v>33.936476817391849</v>
      </c>
      <c r="O27" s="19"/>
      <c r="P27" s="19">
        <f t="shared" si="5"/>
        <v>429.98470286964829</v>
      </c>
      <c r="Q27" s="19">
        <f t="shared" si="6"/>
        <v>412000</v>
      </c>
      <c r="R27" s="19">
        <f>Q27-'Primary Residence Mortgage'!J28</f>
        <v>97833.66936115938</v>
      </c>
      <c r="S27" s="57">
        <f>P27+R27</f>
        <v>98263.654064029033</v>
      </c>
      <c r="T27" s="19">
        <f>Q27*0.8-'Primary Residence Mortgage'!J28</f>
        <v>15433.66936115938</v>
      </c>
    </row>
    <row r="28" spans="2:20">
      <c r="B28" s="98">
        <v>2</v>
      </c>
      <c r="C28">
        <v>13</v>
      </c>
      <c r="D28" s="19">
        <f>D27*(1+$E$10)</f>
        <v>2306.25</v>
      </c>
      <c r="E28" s="19">
        <f t="shared" si="8"/>
        <v>2216.0635231826082</v>
      </c>
      <c r="F28" s="19">
        <f t="shared" si="1"/>
        <v>90.186476817391849</v>
      </c>
      <c r="G28" s="19"/>
      <c r="H28" s="19">
        <f t="shared" si="2"/>
        <v>0</v>
      </c>
      <c r="I28" s="19"/>
      <c r="J28" s="19">
        <f t="shared" si="3"/>
        <v>0</v>
      </c>
      <c r="M28" s="19"/>
      <c r="N28" s="19">
        <f t="shared" si="4"/>
        <v>90.186476817391849</v>
      </c>
      <c r="O28" s="19"/>
      <c r="P28" s="19">
        <f t="shared" si="5"/>
        <v>524.50593951776557</v>
      </c>
      <c r="Q28" s="19">
        <f>$E$5*(1+$E$7/12*C28)</f>
        <v>413000</v>
      </c>
    </row>
    <row r="29" spans="2:20">
      <c r="B29" s="98"/>
      <c r="C29">
        <v>14</v>
      </c>
      <c r="D29" s="19">
        <f>D28</f>
        <v>2306.25</v>
      </c>
      <c r="E29" s="19">
        <f t="shared" si="8"/>
        <v>2216.0635231826082</v>
      </c>
      <c r="F29" s="19">
        <f t="shared" si="1"/>
        <v>90.186476817391849</v>
      </c>
      <c r="G29" s="19"/>
      <c r="H29" s="19">
        <f t="shared" si="2"/>
        <v>0</v>
      </c>
      <c r="I29" s="19"/>
      <c r="J29" s="19">
        <f t="shared" si="3"/>
        <v>0</v>
      </c>
      <c r="M29" s="19"/>
      <c r="N29" s="19">
        <f t="shared" si="4"/>
        <v>90.186476817391849</v>
      </c>
      <c r="O29" s="19"/>
      <c r="P29" s="19">
        <f t="shared" si="5"/>
        <v>619.81485313795042</v>
      </c>
      <c r="Q29" s="19">
        <f t="shared" si="6"/>
        <v>413999.99999999994</v>
      </c>
    </row>
    <row r="30" spans="2:20">
      <c r="B30" s="98"/>
      <c r="C30">
        <v>15</v>
      </c>
      <c r="D30" s="19">
        <f t="shared" ref="D30:D39" si="9">D29</f>
        <v>2306.25</v>
      </c>
      <c r="E30" s="19">
        <f t="shared" si="8"/>
        <v>2216.0635231826082</v>
      </c>
      <c r="F30" s="19">
        <f t="shared" si="1"/>
        <v>90.186476817391849</v>
      </c>
      <c r="G30" s="19"/>
      <c r="H30" s="19">
        <f t="shared" si="2"/>
        <v>0</v>
      </c>
      <c r="I30" s="19"/>
      <c r="J30" s="19">
        <f t="shared" si="3"/>
        <v>0</v>
      </c>
      <c r="M30" s="19"/>
      <c r="N30" s="19">
        <f t="shared" si="4"/>
        <v>90.186476817391849</v>
      </c>
      <c r="O30" s="19"/>
      <c r="P30" s="19">
        <f t="shared" si="5"/>
        <v>715.91800770497014</v>
      </c>
      <c r="Q30" s="19">
        <f t="shared" si="6"/>
        <v>415000.00000000006</v>
      </c>
    </row>
    <row r="31" spans="2:20">
      <c r="B31" s="98"/>
      <c r="C31">
        <v>16</v>
      </c>
      <c r="D31" s="19">
        <f t="shared" si="9"/>
        <v>2306.25</v>
      </c>
      <c r="E31" s="19">
        <f t="shared" si="8"/>
        <v>2216.0635231826082</v>
      </c>
      <c r="F31" s="19">
        <f t="shared" si="1"/>
        <v>90.186476817391849</v>
      </c>
      <c r="G31" s="19"/>
      <c r="H31" s="19">
        <f t="shared" si="2"/>
        <v>0</v>
      </c>
      <c r="I31" s="19"/>
      <c r="J31" s="19">
        <f t="shared" si="3"/>
        <v>0</v>
      </c>
      <c r="M31" s="19"/>
      <c r="N31" s="19">
        <f t="shared" si="4"/>
        <v>90.186476817391849</v>
      </c>
      <c r="O31" s="19"/>
      <c r="P31" s="19">
        <f t="shared" si="5"/>
        <v>812.82202189338159</v>
      </c>
      <c r="Q31" s="19">
        <f t="shared" si="6"/>
        <v>416000</v>
      </c>
    </row>
    <row r="32" spans="2:20">
      <c r="B32" s="98"/>
      <c r="C32">
        <v>17</v>
      </c>
      <c r="D32" s="19">
        <f t="shared" si="9"/>
        <v>2306.25</v>
      </c>
      <c r="E32" s="19">
        <f t="shared" si="8"/>
        <v>2216.0635231826082</v>
      </c>
      <c r="F32" s="19">
        <f t="shared" si="1"/>
        <v>90.186476817391849</v>
      </c>
      <c r="G32" s="19"/>
      <c r="H32" s="19">
        <f t="shared" si="2"/>
        <v>0</v>
      </c>
      <c r="I32" s="19"/>
      <c r="J32" s="19">
        <f t="shared" si="3"/>
        <v>0</v>
      </c>
      <c r="M32" s="19"/>
      <c r="N32" s="19">
        <f t="shared" si="4"/>
        <v>90.186476817391849</v>
      </c>
      <c r="O32" s="19"/>
      <c r="P32" s="19">
        <f t="shared" si="5"/>
        <v>910.53356953336322</v>
      </c>
      <c r="Q32" s="19">
        <f t="shared" si="6"/>
        <v>417000</v>
      </c>
    </row>
    <row r="33" spans="2:20">
      <c r="B33" s="98"/>
      <c r="C33">
        <v>18</v>
      </c>
      <c r="D33" s="19">
        <f t="shared" si="9"/>
        <v>2306.25</v>
      </c>
      <c r="E33" s="19">
        <f t="shared" si="8"/>
        <v>2216.0635231826082</v>
      </c>
      <c r="F33" s="19">
        <f t="shared" si="1"/>
        <v>90.186476817391849</v>
      </c>
      <c r="G33" s="19"/>
      <c r="H33" s="19">
        <f t="shared" si="2"/>
        <v>0</v>
      </c>
      <c r="I33" s="19"/>
      <c r="J33" s="19">
        <f t="shared" si="3"/>
        <v>0</v>
      </c>
      <c r="M33" s="19"/>
      <c r="N33" s="19">
        <f t="shared" si="4"/>
        <v>90.186476817391849</v>
      </c>
      <c r="O33" s="19"/>
      <c r="P33" s="19">
        <f t="shared" si="5"/>
        <v>1009.0593800703447</v>
      </c>
      <c r="Q33" s="19">
        <f t="shared" si="6"/>
        <v>418000</v>
      </c>
    </row>
    <row r="34" spans="2:20">
      <c r="B34" s="98"/>
      <c r="C34">
        <v>19</v>
      </c>
      <c r="D34" s="19">
        <f t="shared" si="9"/>
        <v>2306.25</v>
      </c>
      <c r="E34" s="19">
        <f t="shared" si="8"/>
        <v>2216.0635231826082</v>
      </c>
      <c r="F34" s="19">
        <f t="shared" si="1"/>
        <v>90.186476817391849</v>
      </c>
      <c r="G34" s="19"/>
      <c r="H34" s="19">
        <f t="shared" si="2"/>
        <v>0</v>
      </c>
      <c r="I34" s="19"/>
      <c r="J34" s="19">
        <f t="shared" si="3"/>
        <v>0</v>
      </c>
      <c r="M34" s="19"/>
      <c r="N34" s="19">
        <f t="shared" si="4"/>
        <v>90.186476817391849</v>
      </c>
      <c r="O34" s="19"/>
      <c r="P34" s="19">
        <f t="shared" si="5"/>
        <v>1108.4062390284676</v>
      </c>
      <c r="Q34" s="19">
        <f t="shared" si="6"/>
        <v>419000.00000000006</v>
      </c>
    </row>
    <row r="35" spans="2:20">
      <c r="B35" s="98"/>
      <c r="C35">
        <v>20</v>
      </c>
      <c r="D35" s="19">
        <f t="shared" si="9"/>
        <v>2306.25</v>
      </c>
      <c r="E35" s="19">
        <f t="shared" si="8"/>
        <v>2216.0635231826082</v>
      </c>
      <c r="F35" s="19">
        <f t="shared" si="1"/>
        <v>90.186476817391849</v>
      </c>
      <c r="G35" s="19"/>
      <c r="H35" s="19">
        <f t="shared" si="2"/>
        <v>0</v>
      </c>
      <c r="I35" s="19"/>
      <c r="J35" s="19">
        <f t="shared" si="3"/>
        <v>0</v>
      </c>
      <c r="M35" s="19"/>
      <c r="N35" s="19">
        <f t="shared" si="4"/>
        <v>90.186476817391849</v>
      </c>
      <c r="O35" s="19"/>
      <c r="P35" s="19">
        <f t="shared" si="5"/>
        <v>1208.5809884779082</v>
      </c>
      <c r="Q35" s="19">
        <f t="shared" si="6"/>
        <v>420000</v>
      </c>
    </row>
    <row r="36" spans="2:20">
      <c r="B36" s="98"/>
      <c r="C36">
        <v>21</v>
      </c>
      <c r="D36" s="19">
        <f t="shared" si="9"/>
        <v>2306.25</v>
      </c>
      <c r="E36" s="19">
        <f t="shared" si="8"/>
        <v>2216.0635231826082</v>
      </c>
      <c r="F36" s="19">
        <f t="shared" si="1"/>
        <v>90.186476817391849</v>
      </c>
      <c r="G36" s="19"/>
      <c r="H36" s="19">
        <f t="shared" si="2"/>
        <v>0</v>
      </c>
      <c r="I36" s="19"/>
      <c r="J36" s="19">
        <f t="shared" si="3"/>
        <v>0</v>
      </c>
      <c r="M36" s="19"/>
      <c r="N36" s="19">
        <f t="shared" si="4"/>
        <v>90.186476817391849</v>
      </c>
      <c r="O36" s="19"/>
      <c r="P36" s="19">
        <f t="shared" si="5"/>
        <v>1309.5905275060943</v>
      </c>
      <c r="Q36" s="19">
        <f t="shared" si="6"/>
        <v>421000</v>
      </c>
    </row>
    <row r="37" spans="2:20">
      <c r="B37" s="98"/>
      <c r="C37">
        <v>22</v>
      </c>
      <c r="D37" s="19">
        <f t="shared" si="9"/>
        <v>2306.25</v>
      </c>
      <c r="E37" s="19">
        <f t="shared" si="8"/>
        <v>2216.0635231826082</v>
      </c>
      <c r="F37" s="19">
        <f t="shared" si="1"/>
        <v>90.186476817391849</v>
      </c>
      <c r="G37" s="19"/>
      <c r="H37" s="19">
        <f t="shared" si="2"/>
        <v>0</v>
      </c>
      <c r="I37" s="19"/>
      <c r="J37" s="19">
        <f t="shared" si="3"/>
        <v>0</v>
      </c>
      <c r="M37" s="19"/>
      <c r="N37" s="19">
        <f t="shared" si="4"/>
        <v>90.186476817391849</v>
      </c>
      <c r="O37" s="19"/>
      <c r="P37" s="19">
        <f t="shared" si="5"/>
        <v>1411.4418126928485</v>
      </c>
      <c r="Q37" s="19">
        <f t="shared" si="6"/>
        <v>422000</v>
      </c>
    </row>
    <row r="38" spans="2:20">
      <c r="B38" s="98"/>
      <c r="C38">
        <v>23</v>
      </c>
      <c r="D38" s="19">
        <f t="shared" si="9"/>
        <v>2306.25</v>
      </c>
      <c r="E38" s="19">
        <f t="shared" si="8"/>
        <v>2216.0635231826082</v>
      </c>
      <c r="F38" s="19">
        <f t="shared" si="1"/>
        <v>90.186476817391849</v>
      </c>
      <c r="G38" s="19"/>
      <c r="H38" s="19">
        <f t="shared" si="2"/>
        <v>0</v>
      </c>
      <c r="I38" s="19"/>
      <c r="J38" s="19">
        <f t="shared" si="3"/>
        <v>0</v>
      </c>
      <c r="M38" s="19"/>
      <c r="N38" s="19">
        <f t="shared" si="4"/>
        <v>90.186476817391849</v>
      </c>
      <c r="O38" s="19"/>
      <c r="P38" s="19">
        <f t="shared" si="5"/>
        <v>1514.1418585894924</v>
      </c>
      <c r="Q38" s="19">
        <f t="shared" si="6"/>
        <v>423000.00000000006</v>
      </c>
    </row>
    <row r="39" spans="2:20">
      <c r="B39" s="98"/>
      <c r="C39">
        <v>24</v>
      </c>
      <c r="D39" s="19">
        <f t="shared" si="9"/>
        <v>2306.25</v>
      </c>
      <c r="E39" s="19">
        <f t="shared" si="8"/>
        <v>2216.0635231826082</v>
      </c>
      <c r="F39" s="19">
        <f t="shared" si="1"/>
        <v>90.186476817391849</v>
      </c>
      <c r="G39" s="19"/>
      <c r="H39" s="19">
        <f t="shared" si="2"/>
        <v>0</v>
      </c>
      <c r="I39" s="19"/>
      <c r="J39" s="19">
        <f t="shared" si="3"/>
        <v>0</v>
      </c>
      <c r="K39" s="19">
        <f>K27*(1+$E$12)</f>
        <v>96800.000000000015</v>
      </c>
      <c r="L39" s="57">
        <f>J39+K39</f>
        <v>96800.000000000015</v>
      </c>
      <c r="M39" s="19"/>
      <c r="N39" s="19">
        <f t="shared" si="4"/>
        <v>90.186476817391849</v>
      </c>
      <c r="O39" s="19"/>
      <c r="P39" s="19">
        <f t="shared" si="5"/>
        <v>1617.6977382019415</v>
      </c>
      <c r="Q39" s="19">
        <f>Q27*(1+E7)</f>
        <v>424360</v>
      </c>
      <c r="R39" s="19">
        <f>Q39-'Primary Residence Mortgage'!J40</f>
        <v>116252.92012085352</v>
      </c>
      <c r="S39" s="57">
        <f>P39+R39</f>
        <v>117870.61785905546</v>
      </c>
      <c r="T39" s="57"/>
    </row>
    <row r="40" spans="2:20">
      <c r="B40" s="98">
        <v>3</v>
      </c>
      <c r="C40">
        <v>25</v>
      </c>
      <c r="D40" s="19">
        <f>D39*(1+$E$10)</f>
        <v>2363.90625</v>
      </c>
      <c r="E40" s="19">
        <f t="shared" si="8"/>
        <v>2216.0635231826082</v>
      </c>
      <c r="F40" s="19">
        <f t="shared" si="1"/>
        <v>147.84272681739185</v>
      </c>
      <c r="G40" s="19"/>
      <c r="H40" s="19">
        <f t="shared" si="2"/>
        <v>0</v>
      </c>
      <c r="I40" s="19"/>
      <c r="J40" s="19">
        <f t="shared" si="3"/>
        <v>0</v>
      </c>
      <c r="M40" s="19"/>
      <c r="N40" s="19">
        <f t="shared" si="4"/>
        <v>147.84272681739185</v>
      </c>
      <c r="O40" s="19"/>
      <c r="P40" s="19">
        <f t="shared" si="5"/>
        <v>1780.2533022278278</v>
      </c>
      <c r="Q40" s="19"/>
    </row>
    <row r="41" spans="2:20">
      <c r="B41" s="98"/>
      <c r="C41">
        <v>26</v>
      </c>
      <c r="D41" s="19">
        <f>D40</f>
        <v>2363.90625</v>
      </c>
      <c r="E41" s="19">
        <f t="shared" si="8"/>
        <v>2216.0635231826082</v>
      </c>
      <c r="F41" s="19">
        <f t="shared" si="1"/>
        <v>147.84272681739185</v>
      </c>
      <c r="G41" s="19"/>
      <c r="H41" s="19">
        <f t="shared" si="2"/>
        <v>0</v>
      </c>
      <c r="I41" s="19"/>
      <c r="J41" s="19">
        <f t="shared" si="3"/>
        <v>0</v>
      </c>
      <c r="M41" s="19"/>
      <c r="N41" s="19">
        <f t="shared" si="4"/>
        <v>147.84272681739185</v>
      </c>
      <c r="O41" s="19"/>
      <c r="P41" s="19">
        <f t="shared" si="5"/>
        <v>1944.1634959539297</v>
      </c>
      <c r="Q41" s="19"/>
    </row>
    <row r="42" spans="2:20">
      <c r="B42" s="98"/>
      <c r="C42">
        <v>27</v>
      </c>
      <c r="D42" s="19">
        <f t="shared" ref="D42:D51" si="10">D41</f>
        <v>2363.90625</v>
      </c>
      <c r="E42" s="19">
        <f t="shared" si="8"/>
        <v>2216.0635231826082</v>
      </c>
      <c r="F42" s="19">
        <f t="shared" si="1"/>
        <v>147.84272681739185</v>
      </c>
      <c r="G42" s="19"/>
      <c r="H42" s="19">
        <f t="shared" si="2"/>
        <v>0</v>
      </c>
      <c r="I42" s="19"/>
      <c r="J42" s="19">
        <f t="shared" si="3"/>
        <v>0</v>
      </c>
      <c r="M42" s="19"/>
      <c r="N42" s="19">
        <f t="shared" si="4"/>
        <v>147.84272681739185</v>
      </c>
      <c r="O42" s="19"/>
      <c r="P42" s="19">
        <f t="shared" si="5"/>
        <v>2109.4396079610824</v>
      </c>
      <c r="Q42" s="19"/>
    </row>
    <row r="43" spans="2:20">
      <c r="B43" s="98"/>
      <c r="C43">
        <v>28</v>
      </c>
      <c r="D43" s="19">
        <f t="shared" si="10"/>
        <v>2363.90625</v>
      </c>
      <c r="E43" s="19">
        <f t="shared" si="8"/>
        <v>2216.0635231826082</v>
      </c>
      <c r="F43" s="19">
        <f t="shared" si="1"/>
        <v>147.84272681739185</v>
      </c>
      <c r="G43" s="19"/>
      <c r="H43" s="19">
        <f t="shared" si="2"/>
        <v>0</v>
      </c>
      <c r="I43" s="19"/>
      <c r="J43" s="19">
        <f t="shared" si="3"/>
        <v>0</v>
      </c>
      <c r="M43" s="19"/>
      <c r="N43" s="19">
        <f t="shared" si="4"/>
        <v>147.84272681739185</v>
      </c>
      <c r="O43" s="19"/>
      <c r="P43" s="19">
        <f t="shared" si="5"/>
        <v>2276.0930209016283</v>
      </c>
      <c r="Q43" s="19"/>
    </row>
    <row r="44" spans="2:20">
      <c r="B44" s="98"/>
      <c r="C44">
        <v>29</v>
      </c>
      <c r="D44" s="19">
        <f t="shared" si="10"/>
        <v>2363.90625</v>
      </c>
      <c r="E44" s="19">
        <f t="shared" si="8"/>
        <v>2216.0635231826082</v>
      </c>
      <c r="F44" s="19">
        <f t="shared" si="1"/>
        <v>147.84272681739185</v>
      </c>
      <c r="G44" s="19"/>
      <c r="H44" s="19">
        <f t="shared" si="2"/>
        <v>0</v>
      </c>
      <c r="I44" s="19"/>
      <c r="J44" s="19">
        <f t="shared" si="3"/>
        <v>0</v>
      </c>
      <c r="M44" s="19"/>
      <c r="N44" s="19">
        <f t="shared" si="4"/>
        <v>147.84272681739185</v>
      </c>
      <c r="O44" s="19"/>
      <c r="P44" s="19">
        <f t="shared" si="5"/>
        <v>2444.135212283345</v>
      </c>
      <c r="Q44" s="19"/>
    </row>
    <row r="45" spans="2:20">
      <c r="B45" s="98"/>
      <c r="C45">
        <v>30</v>
      </c>
      <c r="D45" s="19">
        <f t="shared" si="10"/>
        <v>2363.90625</v>
      </c>
      <c r="E45" s="19">
        <f t="shared" si="8"/>
        <v>2216.0635231826082</v>
      </c>
      <c r="F45" s="19">
        <f t="shared" si="1"/>
        <v>147.84272681739185</v>
      </c>
      <c r="G45" s="19"/>
      <c r="H45" s="19">
        <f t="shared" si="2"/>
        <v>0</v>
      </c>
      <c r="I45" s="19"/>
      <c r="J45" s="19">
        <f t="shared" si="3"/>
        <v>0</v>
      </c>
      <c r="M45" s="19"/>
      <c r="N45" s="19">
        <f t="shared" si="4"/>
        <v>147.84272681739185</v>
      </c>
      <c r="O45" s="19"/>
      <c r="P45" s="19">
        <f t="shared" si="5"/>
        <v>2613.5777552599097</v>
      </c>
      <c r="Q45" s="19"/>
    </row>
    <row r="46" spans="2:20">
      <c r="B46" s="98"/>
      <c r="C46">
        <v>31</v>
      </c>
      <c r="D46" s="19">
        <f t="shared" si="10"/>
        <v>2363.90625</v>
      </c>
      <c r="E46" s="19">
        <f t="shared" si="8"/>
        <v>2216.0635231826082</v>
      </c>
      <c r="F46" s="19">
        <f t="shared" si="1"/>
        <v>147.84272681739185</v>
      </c>
      <c r="G46" s="19"/>
      <c r="H46" s="19">
        <f t="shared" si="2"/>
        <v>0</v>
      </c>
      <c r="I46" s="19"/>
      <c r="J46" s="19">
        <f t="shared" si="3"/>
        <v>0</v>
      </c>
      <c r="M46" s="19"/>
      <c r="N46" s="19">
        <f t="shared" si="4"/>
        <v>147.84272681739185</v>
      </c>
      <c r="O46" s="19"/>
      <c r="P46" s="19">
        <f t="shared" si="5"/>
        <v>2784.4323194279455</v>
      </c>
      <c r="Q46" s="19"/>
    </row>
    <row r="47" spans="2:20">
      <c r="B47" s="98"/>
      <c r="C47">
        <v>32</v>
      </c>
      <c r="D47" s="19">
        <f t="shared" si="10"/>
        <v>2363.90625</v>
      </c>
      <c r="E47" s="19">
        <f t="shared" si="8"/>
        <v>2216.0635231826082</v>
      </c>
      <c r="F47" s="19">
        <f t="shared" si="1"/>
        <v>147.84272681739185</v>
      </c>
      <c r="G47" s="19"/>
      <c r="H47" s="19">
        <f t="shared" si="2"/>
        <v>0</v>
      </c>
      <c r="I47" s="19"/>
      <c r="J47" s="19">
        <f t="shared" si="3"/>
        <v>0</v>
      </c>
      <c r="M47" s="19"/>
      <c r="N47" s="19">
        <f t="shared" si="4"/>
        <v>147.84272681739185</v>
      </c>
      <c r="O47" s="19"/>
      <c r="P47" s="19">
        <f t="shared" si="5"/>
        <v>2956.7106716307148</v>
      </c>
      <c r="Q47" s="19"/>
    </row>
    <row r="48" spans="2:20">
      <c r="B48" s="98"/>
      <c r="C48">
        <v>33</v>
      </c>
      <c r="D48" s="19">
        <f t="shared" si="10"/>
        <v>2363.90625</v>
      </c>
      <c r="E48" s="19">
        <f t="shared" si="8"/>
        <v>2216.0635231826082</v>
      </c>
      <c r="F48" s="19">
        <f t="shared" si="1"/>
        <v>147.84272681739185</v>
      </c>
      <c r="G48" s="19"/>
      <c r="H48" s="19">
        <f t="shared" si="2"/>
        <v>0</v>
      </c>
      <c r="I48" s="19"/>
      <c r="J48" s="19">
        <f t="shared" si="3"/>
        <v>0</v>
      </c>
      <c r="M48" s="19"/>
      <c r="N48" s="19">
        <f t="shared" si="4"/>
        <v>147.84272681739185</v>
      </c>
      <c r="O48" s="19"/>
      <c r="P48" s="19">
        <f t="shared" si="5"/>
        <v>3130.4246767685077</v>
      </c>
      <c r="Q48" s="19"/>
    </row>
    <row r="49" spans="2:20">
      <c r="B49" s="98"/>
      <c r="C49">
        <v>34</v>
      </c>
      <c r="D49" s="19">
        <f t="shared" si="10"/>
        <v>2363.90625</v>
      </c>
      <c r="E49" s="19">
        <f t="shared" si="8"/>
        <v>2216.0635231826082</v>
      </c>
      <c r="F49" s="19">
        <f t="shared" si="1"/>
        <v>147.84272681739185</v>
      </c>
      <c r="G49" s="19"/>
      <c r="H49" s="19">
        <f t="shared" si="2"/>
        <v>0</v>
      </c>
      <c r="I49" s="19"/>
      <c r="J49" s="19">
        <f t="shared" si="3"/>
        <v>0</v>
      </c>
      <c r="M49" s="19"/>
      <c r="N49" s="19">
        <f t="shared" si="4"/>
        <v>147.84272681739185</v>
      </c>
      <c r="O49" s="19"/>
      <c r="P49" s="19">
        <f t="shared" si="5"/>
        <v>3305.5862986157817</v>
      </c>
      <c r="Q49" s="19"/>
    </row>
    <row r="50" spans="2:20">
      <c r="B50" s="98"/>
      <c r="C50">
        <v>35</v>
      </c>
      <c r="D50" s="19">
        <f t="shared" si="10"/>
        <v>2363.90625</v>
      </c>
      <c r="E50" s="19">
        <f t="shared" si="8"/>
        <v>2216.0635231826082</v>
      </c>
      <c r="F50" s="19">
        <f t="shared" si="1"/>
        <v>147.84272681739185</v>
      </c>
      <c r="G50" s="19"/>
      <c r="H50" s="19">
        <f t="shared" si="2"/>
        <v>0</v>
      </c>
      <c r="I50" s="19"/>
      <c r="J50" s="19">
        <f t="shared" si="3"/>
        <v>0</v>
      </c>
      <c r="M50" s="19"/>
      <c r="N50" s="19">
        <f t="shared" si="4"/>
        <v>147.84272681739185</v>
      </c>
      <c r="O50" s="19"/>
      <c r="P50" s="19">
        <f t="shared" si="5"/>
        <v>3482.2076006451166</v>
      </c>
      <c r="Q50" s="19"/>
    </row>
    <row r="51" spans="2:20">
      <c r="B51" s="98"/>
      <c r="C51">
        <v>36</v>
      </c>
      <c r="D51" s="19">
        <f t="shared" si="10"/>
        <v>2363.90625</v>
      </c>
      <c r="E51" s="19">
        <f t="shared" si="8"/>
        <v>2216.0635231826082</v>
      </c>
      <c r="F51" s="19">
        <f t="shared" si="1"/>
        <v>147.84272681739185</v>
      </c>
      <c r="G51" s="19"/>
      <c r="H51" s="19">
        <f t="shared" si="2"/>
        <v>0</v>
      </c>
      <c r="I51" s="19"/>
      <c r="J51" s="19">
        <f t="shared" si="3"/>
        <v>0</v>
      </c>
      <c r="K51" s="19">
        <f>K39*(1+$E$12)</f>
        <v>106480.00000000003</v>
      </c>
      <c r="L51" s="57">
        <f>J51+K51</f>
        <v>106480.00000000003</v>
      </c>
      <c r="M51" s="19"/>
      <c r="N51" s="19">
        <f t="shared" si="4"/>
        <v>147.84272681739185</v>
      </c>
      <c r="O51" s="19"/>
      <c r="P51" s="19">
        <f t="shared" si="5"/>
        <v>3660.3007468580295</v>
      </c>
      <c r="Q51" s="19">
        <f>Q39*(1+$E$7)</f>
        <v>437090.8</v>
      </c>
      <c r="R51" s="19">
        <f>Q51-'Primary Residence Mortgage'!J52</f>
        <v>135277.27525671711</v>
      </c>
      <c r="S51" s="57">
        <f>P51+R51</f>
        <v>138937.57600357514</v>
      </c>
      <c r="T51" s="57"/>
    </row>
    <row r="52" spans="2:20">
      <c r="B52" s="98">
        <v>4</v>
      </c>
      <c r="C52">
        <v>37</v>
      </c>
      <c r="D52" s="19">
        <f>D51*(1+$E$10)</f>
        <v>2423.00390625</v>
      </c>
      <c r="E52" s="19">
        <f t="shared" si="8"/>
        <v>2216.0635231826082</v>
      </c>
      <c r="F52" s="19">
        <f t="shared" si="1"/>
        <v>206.94038306739185</v>
      </c>
      <c r="G52" s="19"/>
      <c r="H52" s="19">
        <f t="shared" si="2"/>
        <v>0</v>
      </c>
      <c r="I52" s="19"/>
      <c r="J52" s="19">
        <f t="shared" si="3"/>
        <v>0</v>
      </c>
      <c r="M52" s="19"/>
      <c r="N52" s="19">
        <f t="shared" si="4"/>
        <v>206.94038306739185</v>
      </c>
      <c r="O52" s="19"/>
      <c r="P52" s="19">
        <f t="shared" si="5"/>
        <v>3899.4681393414662</v>
      </c>
      <c r="Q52" s="19"/>
    </row>
    <row r="53" spans="2:20">
      <c r="B53" s="98"/>
      <c r="C53">
        <v>38</v>
      </c>
      <c r="D53" s="19">
        <f>D52</f>
        <v>2423.00390625</v>
      </c>
      <c r="E53" s="19">
        <f t="shared" si="8"/>
        <v>2216.0635231826082</v>
      </c>
      <c r="F53" s="19">
        <f t="shared" si="1"/>
        <v>206.94038306739185</v>
      </c>
      <c r="G53" s="19"/>
      <c r="H53" s="19">
        <f t="shared" si="2"/>
        <v>0</v>
      </c>
      <c r="I53" s="19"/>
      <c r="J53" s="19">
        <f t="shared" si="3"/>
        <v>0</v>
      </c>
      <c r="M53" s="19"/>
      <c r="N53" s="19">
        <f t="shared" si="4"/>
        <v>206.94038306739185</v>
      </c>
      <c r="O53" s="19"/>
      <c r="P53" s="19">
        <f t="shared" si="5"/>
        <v>4140.6285934289317</v>
      </c>
      <c r="Q53" s="19"/>
    </row>
    <row r="54" spans="2:20">
      <c r="B54" s="98"/>
      <c r="C54">
        <v>39</v>
      </c>
      <c r="D54" s="19">
        <f t="shared" ref="D54:D63" si="11">D53</f>
        <v>2423.00390625</v>
      </c>
      <c r="E54" s="19">
        <f t="shared" si="8"/>
        <v>2216.0635231826082</v>
      </c>
      <c r="F54" s="19">
        <f t="shared" si="1"/>
        <v>206.94038306739185</v>
      </c>
      <c r="G54" s="19"/>
      <c r="H54" s="19">
        <f t="shared" si="2"/>
        <v>0</v>
      </c>
      <c r="I54" s="19"/>
      <c r="J54" s="19">
        <f t="shared" si="3"/>
        <v>0</v>
      </c>
      <c r="M54" s="19"/>
      <c r="N54" s="19">
        <f t="shared" si="4"/>
        <v>206.94038306739185</v>
      </c>
      <c r="O54" s="19"/>
      <c r="P54" s="19">
        <f t="shared" si="5"/>
        <v>4383.7987179671263</v>
      </c>
      <c r="Q54" s="19"/>
    </row>
    <row r="55" spans="2:20">
      <c r="B55" s="98"/>
      <c r="C55">
        <v>40</v>
      </c>
      <c r="D55" s="19">
        <f t="shared" si="11"/>
        <v>2423.00390625</v>
      </c>
      <c r="E55" s="19">
        <f t="shared" si="8"/>
        <v>2216.0635231826082</v>
      </c>
      <c r="F55" s="19">
        <f t="shared" si="1"/>
        <v>206.94038306739185</v>
      </c>
      <c r="G55" s="19"/>
      <c r="H55" s="19">
        <f t="shared" si="2"/>
        <v>0</v>
      </c>
      <c r="I55" s="19"/>
      <c r="J55" s="19">
        <f t="shared" si="3"/>
        <v>0</v>
      </c>
      <c r="M55" s="19"/>
      <c r="N55" s="19">
        <f t="shared" si="4"/>
        <v>206.94038306739185</v>
      </c>
      <c r="O55" s="19"/>
      <c r="P55" s="19">
        <f t="shared" si="5"/>
        <v>4628.9952602098056</v>
      </c>
      <c r="Q55" s="19"/>
    </row>
    <row r="56" spans="2:20">
      <c r="B56" s="98"/>
      <c r="C56">
        <v>41</v>
      </c>
      <c r="D56" s="19">
        <f t="shared" si="11"/>
        <v>2423.00390625</v>
      </c>
      <c r="E56" s="19">
        <f t="shared" si="8"/>
        <v>2216.0635231826082</v>
      </c>
      <c r="F56" s="19">
        <f t="shared" si="1"/>
        <v>206.94038306739185</v>
      </c>
      <c r="G56" s="19"/>
      <c r="H56" s="19">
        <f t="shared" si="2"/>
        <v>0</v>
      </c>
      <c r="I56" s="19"/>
      <c r="J56" s="19">
        <f t="shared" si="3"/>
        <v>0</v>
      </c>
      <c r="M56" s="19"/>
      <c r="N56" s="19">
        <f t="shared" si="4"/>
        <v>206.94038306739185</v>
      </c>
      <c r="O56" s="19"/>
      <c r="P56" s="19">
        <f t="shared" si="5"/>
        <v>4876.235106971174</v>
      </c>
      <c r="Q56" s="19"/>
    </row>
    <row r="57" spans="2:20">
      <c r="B57" s="98"/>
      <c r="C57">
        <v>42</v>
      </c>
      <c r="D57" s="19">
        <f t="shared" si="11"/>
        <v>2423.00390625</v>
      </c>
      <c r="E57" s="19">
        <f t="shared" si="8"/>
        <v>2216.0635231826082</v>
      </c>
      <c r="F57" s="19">
        <f t="shared" si="1"/>
        <v>206.94038306739185</v>
      </c>
      <c r="G57" s="19"/>
      <c r="H57" s="19">
        <f t="shared" si="2"/>
        <v>0</v>
      </c>
      <c r="I57" s="19"/>
      <c r="J57" s="19">
        <f t="shared" si="3"/>
        <v>0</v>
      </c>
      <c r="M57" s="19"/>
      <c r="N57" s="19">
        <f t="shared" si="4"/>
        <v>206.94038306739185</v>
      </c>
      <c r="O57" s="19"/>
      <c r="P57" s="19">
        <f t="shared" si="5"/>
        <v>5125.5352857888874</v>
      </c>
      <c r="Q57" s="19"/>
    </row>
    <row r="58" spans="2:20">
      <c r="B58" s="98"/>
      <c r="C58">
        <v>43</v>
      </c>
      <c r="D58" s="19">
        <f t="shared" si="11"/>
        <v>2423.00390625</v>
      </c>
      <c r="E58" s="19">
        <f t="shared" si="8"/>
        <v>2216.0635231826082</v>
      </c>
      <c r="F58" s="19">
        <f t="shared" si="1"/>
        <v>206.94038306739185</v>
      </c>
      <c r="G58" s="19"/>
      <c r="H58" s="19">
        <f t="shared" si="2"/>
        <v>0</v>
      </c>
      <c r="I58" s="19"/>
      <c r="J58" s="19">
        <f t="shared" si="3"/>
        <v>0</v>
      </c>
      <c r="M58" s="19"/>
      <c r="N58" s="19">
        <f t="shared" si="4"/>
        <v>206.94038306739185</v>
      </c>
      <c r="O58" s="19"/>
      <c r="P58" s="19">
        <f t="shared" si="5"/>
        <v>5376.9129660967483</v>
      </c>
      <c r="Q58" s="19"/>
    </row>
    <row r="59" spans="2:20">
      <c r="B59" s="98"/>
      <c r="C59">
        <v>44</v>
      </c>
      <c r="D59" s="19">
        <f t="shared" si="11"/>
        <v>2423.00390625</v>
      </c>
      <c r="E59" s="19">
        <f t="shared" si="8"/>
        <v>2216.0635231826082</v>
      </c>
      <c r="F59" s="19">
        <f t="shared" si="1"/>
        <v>206.94038306739185</v>
      </c>
      <c r="G59" s="19"/>
      <c r="H59" s="19">
        <f t="shared" si="2"/>
        <v>0</v>
      </c>
      <c r="I59" s="19"/>
      <c r="J59" s="19">
        <f t="shared" si="3"/>
        <v>0</v>
      </c>
      <c r="M59" s="19"/>
      <c r="N59" s="19">
        <f t="shared" si="4"/>
        <v>206.94038306739185</v>
      </c>
      <c r="O59" s="19"/>
      <c r="P59" s="19">
        <f t="shared" si="5"/>
        <v>5630.3854604071748</v>
      </c>
      <c r="Q59" s="19"/>
    </row>
    <row r="60" spans="2:20">
      <c r="B60" s="98"/>
      <c r="C60">
        <v>45</v>
      </c>
      <c r="D60" s="19">
        <f t="shared" si="11"/>
        <v>2423.00390625</v>
      </c>
      <c r="E60" s="19">
        <f t="shared" si="8"/>
        <v>2216.0635231826082</v>
      </c>
      <c r="F60" s="19">
        <f t="shared" si="1"/>
        <v>206.94038306739185</v>
      </c>
      <c r="G60" s="19"/>
      <c r="H60" s="19">
        <f t="shared" si="2"/>
        <v>0</v>
      </c>
      <c r="I60" s="19"/>
      <c r="J60" s="19">
        <f t="shared" si="3"/>
        <v>0</v>
      </c>
      <c r="M60" s="19"/>
      <c r="N60" s="19">
        <f t="shared" si="4"/>
        <v>206.94038306739185</v>
      </c>
      <c r="O60" s="19"/>
      <c r="P60" s="19">
        <f t="shared" si="5"/>
        <v>5885.9702255035209</v>
      </c>
      <c r="Q60" s="19"/>
    </row>
    <row r="61" spans="2:20">
      <c r="B61" s="98"/>
      <c r="C61">
        <v>46</v>
      </c>
      <c r="D61" s="19">
        <f t="shared" si="11"/>
        <v>2423.00390625</v>
      </c>
      <c r="E61" s="19">
        <f t="shared" si="8"/>
        <v>2216.0635231826082</v>
      </c>
      <c r="F61" s="19">
        <f t="shared" si="1"/>
        <v>206.94038306739185</v>
      </c>
      <c r="G61" s="19"/>
      <c r="H61" s="19">
        <f t="shared" si="2"/>
        <v>0</v>
      </c>
      <c r="I61" s="19"/>
      <c r="J61" s="19">
        <f t="shared" si="3"/>
        <v>0</v>
      </c>
      <c r="M61" s="19"/>
      <c r="N61" s="19">
        <f t="shared" si="4"/>
        <v>206.94038306739185</v>
      </c>
      <c r="O61" s="19"/>
      <c r="P61" s="19">
        <f t="shared" si="5"/>
        <v>6143.6848636423365</v>
      </c>
      <c r="Q61" s="19"/>
    </row>
    <row r="62" spans="2:20">
      <c r="B62" s="98"/>
      <c r="C62">
        <v>47</v>
      </c>
      <c r="D62" s="19">
        <f t="shared" si="11"/>
        <v>2423.00390625</v>
      </c>
      <c r="E62" s="19">
        <f t="shared" si="8"/>
        <v>2216.0635231826082</v>
      </c>
      <c r="F62" s="19">
        <f t="shared" si="1"/>
        <v>206.94038306739185</v>
      </c>
      <c r="G62" s="19"/>
      <c r="H62" s="19">
        <f t="shared" si="2"/>
        <v>0</v>
      </c>
      <c r="I62" s="19"/>
      <c r="J62" s="19">
        <f t="shared" si="3"/>
        <v>0</v>
      </c>
      <c r="M62" s="19"/>
      <c r="N62" s="19">
        <f t="shared" si="4"/>
        <v>206.94038306739185</v>
      </c>
      <c r="O62" s="19"/>
      <c r="P62" s="19">
        <f t="shared" si="5"/>
        <v>6403.5471237656429</v>
      </c>
      <c r="Q62" s="19"/>
    </row>
    <row r="63" spans="2:20">
      <c r="B63" s="98"/>
      <c r="C63">
        <v>48</v>
      </c>
      <c r="D63" s="19">
        <f t="shared" si="11"/>
        <v>2423.00390625</v>
      </c>
      <c r="E63" s="19">
        <f t="shared" si="8"/>
        <v>2216.0635231826082</v>
      </c>
      <c r="F63" s="19">
        <f t="shared" si="1"/>
        <v>206.94038306739185</v>
      </c>
      <c r="G63" s="19"/>
      <c r="H63" s="19">
        <f t="shared" si="2"/>
        <v>0</v>
      </c>
      <c r="I63" s="19"/>
      <c r="J63" s="19">
        <f t="shared" si="3"/>
        <v>0</v>
      </c>
      <c r="K63" s="19">
        <f>K51*(1+$E$12)</f>
        <v>117128.00000000004</v>
      </c>
      <c r="L63" s="57">
        <f>J63+K63</f>
        <v>117128.00000000004</v>
      </c>
      <c r="M63" s="19"/>
      <c r="N63" s="19">
        <f t="shared" si="4"/>
        <v>206.94038306739185</v>
      </c>
      <c r="O63" s="19"/>
      <c r="P63" s="19">
        <f t="shared" si="5"/>
        <v>6665.5749027233096</v>
      </c>
      <c r="Q63" s="19">
        <f>Q51*(1+$E$7)</f>
        <v>450203.52399999998</v>
      </c>
      <c r="R63" s="19">
        <f>Q63-'Primary Residence Mortgage'!J64</f>
        <v>154926.91905406758</v>
      </c>
      <c r="S63" s="57">
        <f>P63+R63</f>
        <v>161592.49395679089</v>
      </c>
      <c r="T63" s="57"/>
    </row>
    <row r="64" spans="2:20">
      <c r="B64" s="98">
        <v>5</v>
      </c>
      <c r="C64">
        <v>49</v>
      </c>
      <c r="D64" s="19">
        <f>D63*(1+$E$10)</f>
        <v>2483.5790039062499</v>
      </c>
      <c r="E64" s="19">
        <f t="shared" si="8"/>
        <v>2216.0635231826082</v>
      </c>
      <c r="F64" s="19">
        <f t="shared" si="1"/>
        <v>267.51548072364176</v>
      </c>
      <c r="G64" s="19"/>
      <c r="H64" s="19">
        <f t="shared" si="2"/>
        <v>0</v>
      </c>
      <c r="I64" s="19"/>
      <c r="J64" s="19">
        <f t="shared" si="3"/>
        <v>0</v>
      </c>
      <c r="M64" s="19"/>
      <c r="N64" s="19">
        <f t="shared" si="4"/>
        <v>267.51548072364176</v>
      </c>
      <c r="O64" s="19"/>
      <c r="P64" s="19">
        <f t="shared" si="5"/>
        <v>6990.866136642343</v>
      </c>
      <c r="Q64" s="19"/>
    </row>
    <row r="65" spans="2:20">
      <c r="B65" s="98"/>
      <c r="C65">
        <v>50</v>
      </c>
      <c r="D65" s="19">
        <f>D64</f>
        <v>2483.5790039062499</v>
      </c>
      <c r="E65" s="19">
        <f t="shared" si="8"/>
        <v>2216.0635231826082</v>
      </c>
      <c r="F65" s="19">
        <f t="shared" si="1"/>
        <v>267.51548072364176</v>
      </c>
      <c r="G65" s="19"/>
      <c r="H65" s="19">
        <f t="shared" si="2"/>
        <v>0</v>
      </c>
      <c r="I65" s="19"/>
      <c r="J65" s="19">
        <f t="shared" si="3"/>
        <v>0</v>
      </c>
      <c r="M65" s="19"/>
      <c r="N65" s="19">
        <f t="shared" si="4"/>
        <v>267.51548072364176</v>
      </c>
      <c r="O65" s="19"/>
      <c r="P65" s="19">
        <f t="shared" si="5"/>
        <v>7318.8681308440346</v>
      </c>
      <c r="Q65" s="19"/>
    </row>
    <row r="66" spans="2:20">
      <c r="B66" s="98"/>
      <c r="C66">
        <v>51</v>
      </c>
      <c r="D66" s="19">
        <f t="shared" ref="D66:D75" si="12">D65</f>
        <v>2483.5790039062499</v>
      </c>
      <c r="E66" s="19">
        <f t="shared" si="8"/>
        <v>2216.0635231826082</v>
      </c>
      <c r="F66" s="19">
        <f t="shared" si="1"/>
        <v>267.51548072364176</v>
      </c>
      <c r="G66" s="19"/>
      <c r="H66" s="19">
        <f t="shared" si="2"/>
        <v>0</v>
      </c>
      <c r="I66" s="19"/>
      <c r="J66" s="19">
        <f t="shared" si="3"/>
        <v>0</v>
      </c>
      <c r="M66" s="19"/>
      <c r="N66" s="19">
        <f t="shared" si="4"/>
        <v>267.51548072364176</v>
      </c>
      <c r="O66" s="19"/>
      <c r="P66" s="19">
        <f t="shared" si="5"/>
        <v>7649.6034749974069</v>
      </c>
      <c r="Q66" s="19"/>
    </row>
    <row r="67" spans="2:20">
      <c r="B67" s="98"/>
      <c r="C67">
        <v>52</v>
      </c>
      <c r="D67" s="19">
        <f t="shared" si="12"/>
        <v>2483.5790039062499</v>
      </c>
      <c r="E67" s="19">
        <f t="shared" si="8"/>
        <v>2216.0635231826082</v>
      </c>
      <c r="F67" s="19">
        <f t="shared" si="1"/>
        <v>267.51548072364176</v>
      </c>
      <c r="G67" s="19"/>
      <c r="H67" s="19">
        <f t="shared" si="2"/>
        <v>0</v>
      </c>
      <c r="I67" s="19"/>
      <c r="J67" s="19">
        <f t="shared" si="3"/>
        <v>0</v>
      </c>
      <c r="M67" s="19"/>
      <c r="N67" s="19">
        <f t="shared" si="4"/>
        <v>267.51548072364176</v>
      </c>
      <c r="O67" s="19"/>
      <c r="P67" s="19">
        <f t="shared" si="5"/>
        <v>7983.0949470187243</v>
      </c>
      <c r="Q67" s="19"/>
    </row>
    <row r="68" spans="2:20">
      <c r="B68" s="98"/>
      <c r="C68">
        <v>53</v>
      </c>
      <c r="D68" s="19">
        <f t="shared" si="12"/>
        <v>2483.5790039062499</v>
      </c>
      <c r="E68" s="19">
        <f t="shared" si="8"/>
        <v>2216.0635231826082</v>
      </c>
      <c r="F68" s="19">
        <f t="shared" si="1"/>
        <v>267.51548072364176</v>
      </c>
      <c r="G68" s="19"/>
      <c r="H68" s="19">
        <f t="shared" si="2"/>
        <v>0</v>
      </c>
      <c r="I68" s="19"/>
      <c r="J68" s="19">
        <f t="shared" si="3"/>
        <v>0</v>
      </c>
      <c r="M68" s="19"/>
      <c r="N68" s="19">
        <f t="shared" si="4"/>
        <v>267.51548072364176</v>
      </c>
      <c r="O68" s="19"/>
      <c r="P68" s="19">
        <f t="shared" si="5"/>
        <v>8319.365514640218</v>
      </c>
      <c r="Q68" s="19"/>
    </row>
    <row r="69" spans="2:20">
      <c r="B69" s="98"/>
      <c r="C69">
        <v>54</v>
      </c>
      <c r="D69" s="19">
        <f t="shared" si="12"/>
        <v>2483.5790039062499</v>
      </c>
      <c r="E69" s="19">
        <f t="shared" si="8"/>
        <v>2216.0635231826082</v>
      </c>
      <c r="F69" s="19">
        <f t="shared" si="1"/>
        <v>267.51548072364176</v>
      </c>
      <c r="G69" s="19"/>
      <c r="H69" s="19">
        <f t="shared" si="2"/>
        <v>0</v>
      </c>
      <c r="I69" s="19"/>
      <c r="J69" s="19">
        <f t="shared" si="3"/>
        <v>0</v>
      </c>
      <c r="M69" s="19"/>
      <c r="N69" s="19">
        <f t="shared" si="4"/>
        <v>267.51548072364176</v>
      </c>
      <c r="O69" s="19"/>
      <c r="P69" s="19">
        <f t="shared" si="5"/>
        <v>8658.4383369918905</v>
      </c>
      <c r="Q69" s="19"/>
    </row>
    <row r="70" spans="2:20">
      <c r="B70" s="98"/>
      <c r="C70">
        <v>55</v>
      </c>
      <c r="D70" s="19">
        <f t="shared" si="12"/>
        <v>2483.5790039062499</v>
      </c>
      <c r="E70" s="19">
        <f t="shared" si="8"/>
        <v>2216.0635231826082</v>
      </c>
      <c r="F70" s="19">
        <f t="shared" si="1"/>
        <v>267.51548072364176</v>
      </c>
      <c r="G70" s="19"/>
      <c r="H70" s="19">
        <f t="shared" si="2"/>
        <v>0</v>
      </c>
      <c r="I70" s="19"/>
      <c r="J70" s="19">
        <f t="shared" si="3"/>
        <v>0</v>
      </c>
      <c r="M70" s="19"/>
      <c r="N70" s="19">
        <f t="shared" si="4"/>
        <v>267.51548072364176</v>
      </c>
      <c r="O70" s="19"/>
      <c r="P70" s="19">
        <f t="shared" si="5"/>
        <v>9000.3367661964949</v>
      </c>
      <c r="Q70" s="19"/>
    </row>
    <row r="71" spans="2:20">
      <c r="B71" s="98"/>
      <c r="C71">
        <v>56</v>
      </c>
      <c r="D71" s="19">
        <f t="shared" si="12"/>
        <v>2483.5790039062499</v>
      </c>
      <c r="E71" s="19">
        <f t="shared" si="8"/>
        <v>2216.0635231826082</v>
      </c>
      <c r="F71" s="19">
        <f t="shared" si="1"/>
        <v>267.51548072364176</v>
      </c>
      <c r="G71" s="19"/>
      <c r="H71" s="19">
        <f t="shared" si="2"/>
        <v>0</v>
      </c>
      <c r="I71" s="19"/>
      <c r="J71" s="19">
        <f t="shared" si="3"/>
        <v>0</v>
      </c>
      <c r="M71" s="19"/>
      <c r="N71" s="19">
        <f t="shared" si="4"/>
        <v>267.51548072364176</v>
      </c>
      <c r="O71" s="19"/>
      <c r="P71" s="19">
        <f t="shared" si="5"/>
        <v>9345.0843489778035</v>
      </c>
      <c r="Q71" s="19"/>
    </row>
    <row r="72" spans="2:20">
      <c r="B72" s="98"/>
      <c r="C72">
        <v>57</v>
      </c>
      <c r="D72" s="19">
        <f t="shared" si="12"/>
        <v>2483.5790039062499</v>
      </c>
      <c r="E72" s="19">
        <f t="shared" si="8"/>
        <v>2216.0635231826082</v>
      </c>
      <c r="F72" s="19">
        <f t="shared" si="1"/>
        <v>267.51548072364176</v>
      </c>
      <c r="G72" s="19"/>
      <c r="H72" s="19">
        <f t="shared" si="2"/>
        <v>0</v>
      </c>
      <c r="I72" s="19"/>
      <c r="J72" s="19">
        <f t="shared" si="3"/>
        <v>0</v>
      </c>
      <c r="M72" s="19"/>
      <c r="N72" s="19">
        <f t="shared" si="4"/>
        <v>267.51548072364176</v>
      </c>
      <c r="O72" s="19"/>
      <c r="P72" s="19">
        <f t="shared" si="5"/>
        <v>9692.7048282822907</v>
      </c>
      <c r="Q72" s="19"/>
    </row>
    <row r="73" spans="2:20">
      <c r="B73" s="98"/>
      <c r="C73">
        <v>58</v>
      </c>
      <c r="D73" s="19">
        <f t="shared" si="12"/>
        <v>2483.5790039062499</v>
      </c>
      <c r="E73" s="19">
        <f t="shared" si="8"/>
        <v>2216.0635231826082</v>
      </c>
      <c r="F73" s="19">
        <f t="shared" si="1"/>
        <v>267.51548072364176</v>
      </c>
      <c r="G73" s="19"/>
      <c r="H73" s="19">
        <f t="shared" si="2"/>
        <v>0</v>
      </c>
      <c r="I73" s="19"/>
      <c r="J73" s="19">
        <f t="shared" si="3"/>
        <v>0</v>
      </c>
      <c r="M73" s="19"/>
      <c r="N73" s="19">
        <f t="shared" si="4"/>
        <v>267.51548072364176</v>
      </c>
      <c r="O73" s="19"/>
      <c r="P73" s="19">
        <f t="shared" si="5"/>
        <v>10043.222144914314</v>
      </c>
      <c r="Q73" s="19"/>
    </row>
    <row r="74" spans="2:20">
      <c r="B74" s="98"/>
      <c r="C74">
        <v>59</v>
      </c>
      <c r="D74" s="19">
        <f t="shared" si="12"/>
        <v>2483.5790039062499</v>
      </c>
      <c r="E74" s="19">
        <f t="shared" si="8"/>
        <v>2216.0635231826082</v>
      </c>
      <c r="F74" s="19">
        <f t="shared" si="1"/>
        <v>267.51548072364176</v>
      </c>
      <c r="G74" s="19"/>
      <c r="H74" s="19">
        <f t="shared" si="2"/>
        <v>0</v>
      </c>
      <c r="I74" s="19"/>
      <c r="J74" s="19">
        <f t="shared" si="3"/>
        <v>0</v>
      </c>
      <c r="M74" s="19"/>
      <c r="N74" s="19">
        <f t="shared" si="4"/>
        <v>267.51548072364176</v>
      </c>
      <c r="O74" s="19"/>
      <c r="P74" s="19">
        <f t="shared" si="5"/>
        <v>10396.660439184938</v>
      </c>
      <c r="Q74" s="19"/>
    </row>
    <row r="75" spans="2:20">
      <c r="B75" s="98"/>
      <c r="C75">
        <v>60</v>
      </c>
      <c r="D75" s="19">
        <f t="shared" si="12"/>
        <v>2483.5790039062499</v>
      </c>
      <c r="E75" s="19">
        <f t="shared" si="8"/>
        <v>2216.0635231826082</v>
      </c>
      <c r="F75" s="19">
        <f t="shared" si="1"/>
        <v>267.51548072364176</v>
      </c>
      <c r="G75" s="19"/>
      <c r="H75" s="19">
        <f t="shared" si="2"/>
        <v>0</v>
      </c>
      <c r="I75" s="19"/>
      <c r="J75" s="19">
        <f t="shared" si="3"/>
        <v>0</v>
      </c>
      <c r="K75" s="19">
        <f>K63*(1+$E$12)</f>
        <v>128840.80000000006</v>
      </c>
      <c r="L75" s="57">
        <f>J75+K75</f>
        <v>128840.80000000006</v>
      </c>
      <c r="M75" s="19"/>
      <c r="N75" s="19">
        <f t="shared" si="4"/>
        <v>267.51548072364176</v>
      </c>
      <c r="O75" s="19"/>
      <c r="P75" s="19">
        <f t="shared" si="5"/>
        <v>10753.044052574483</v>
      </c>
      <c r="Q75" s="19">
        <f>Q63*(1+$E$7)</f>
        <v>463709.62971999997</v>
      </c>
      <c r="R75" s="19">
        <f>Q75-'Primary Residence Mortgage'!J76</f>
        <v>175222.71986921172</v>
      </c>
      <c r="S75" s="57">
        <f>P75+R75</f>
        <v>185975.76392178622</v>
      </c>
      <c r="T75" s="57"/>
    </row>
    <row r="76" spans="2:20">
      <c r="B76" s="98">
        <v>6</v>
      </c>
      <c r="C76">
        <v>61</v>
      </c>
      <c r="D76" s="19">
        <f>D75*(1+$E$10)</f>
        <v>2545.6684790039058</v>
      </c>
      <c r="E76" s="19">
        <f t="shared" si="8"/>
        <v>2216.0635231826082</v>
      </c>
      <c r="F76" s="19">
        <f t="shared" si="1"/>
        <v>329.60495582129761</v>
      </c>
      <c r="G76" s="19"/>
      <c r="H76" s="19">
        <f t="shared" si="2"/>
        <v>0</v>
      </c>
      <c r="I76" s="19"/>
      <c r="J76" s="19">
        <f t="shared" si="3"/>
        <v>0</v>
      </c>
      <c r="M76" s="19"/>
      <c r="N76" s="19">
        <f t="shared" si="4"/>
        <v>329.60495582129761</v>
      </c>
      <c r="O76" s="19"/>
      <c r="P76" s="19">
        <f t="shared" si="5"/>
        <v>11175.00441679908</v>
      </c>
      <c r="Q76" s="19"/>
    </row>
    <row r="77" spans="2:20">
      <c r="B77" s="98"/>
      <c r="C77">
        <v>62</v>
      </c>
      <c r="D77" s="19">
        <f>D76</f>
        <v>2545.6684790039058</v>
      </c>
      <c r="E77" s="19">
        <f t="shared" si="8"/>
        <v>2216.0635231826082</v>
      </c>
      <c r="F77" s="19">
        <f t="shared" si="1"/>
        <v>329.60495582129761</v>
      </c>
      <c r="G77" s="19"/>
      <c r="H77" s="19">
        <f t="shared" si="2"/>
        <v>0</v>
      </c>
      <c r="I77" s="19"/>
      <c r="J77" s="19">
        <f t="shared" si="3"/>
        <v>0</v>
      </c>
      <c r="M77" s="19"/>
      <c r="N77" s="19">
        <f t="shared" si="4"/>
        <v>329.60495582129761</v>
      </c>
      <c r="O77" s="19"/>
      <c r="P77" s="19">
        <f t="shared" si="5"/>
        <v>11600.481117392213</v>
      </c>
      <c r="Q77" s="19"/>
    </row>
    <row r="78" spans="2:20">
      <c r="B78" s="98"/>
      <c r="C78">
        <v>63</v>
      </c>
      <c r="D78" s="19">
        <f t="shared" ref="D78:D87" si="13">D77</f>
        <v>2545.6684790039058</v>
      </c>
      <c r="E78" s="19">
        <f t="shared" si="8"/>
        <v>2216.0635231826082</v>
      </c>
      <c r="F78" s="19">
        <f t="shared" si="1"/>
        <v>329.60495582129761</v>
      </c>
      <c r="G78" s="19"/>
      <c r="H78" s="19">
        <f t="shared" si="2"/>
        <v>0</v>
      </c>
      <c r="I78" s="19"/>
      <c r="J78" s="19">
        <f t="shared" si="3"/>
        <v>0</v>
      </c>
      <c r="M78" s="19"/>
      <c r="N78" s="19">
        <f t="shared" si="4"/>
        <v>329.60495582129761</v>
      </c>
      <c r="O78" s="19"/>
      <c r="P78" s="19">
        <f t="shared" si="5"/>
        <v>12029.503457156958</v>
      </c>
      <c r="Q78" s="19"/>
    </row>
    <row r="79" spans="2:20">
      <c r="B79" s="98"/>
      <c r="C79">
        <v>64</v>
      </c>
      <c r="D79" s="19">
        <f t="shared" si="13"/>
        <v>2545.6684790039058</v>
      </c>
      <c r="E79" s="19">
        <f t="shared" si="8"/>
        <v>2216.0635231826082</v>
      </c>
      <c r="F79" s="19">
        <f t="shared" si="1"/>
        <v>329.60495582129761</v>
      </c>
      <c r="G79" s="19"/>
      <c r="H79" s="19">
        <f t="shared" si="2"/>
        <v>0</v>
      </c>
      <c r="I79" s="19"/>
      <c r="J79" s="19">
        <f t="shared" si="3"/>
        <v>0</v>
      </c>
      <c r="M79" s="19"/>
      <c r="N79" s="19">
        <f t="shared" si="4"/>
        <v>329.60495582129761</v>
      </c>
      <c r="O79" s="19"/>
      <c r="P79" s="19">
        <f t="shared" si="5"/>
        <v>12462.100983086408</v>
      </c>
      <c r="Q79" s="19"/>
    </row>
    <row r="80" spans="2:20">
      <c r="B80" s="98"/>
      <c r="C80">
        <v>65</v>
      </c>
      <c r="D80" s="19">
        <f t="shared" si="13"/>
        <v>2545.6684790039058</v>
      </c>
      <c r="E80" s="19">
        <f t="shared" si="8"/>
        <v>2216.0635231826082</v>
      </c>
      <c r="F80" s="19">
        <f t="shared" si="1"/>
        <v>329.60495582129761</v>
      </c>
      <c r="G80" s="19"/>
      <c r="H80" s="19">
        <f t="shared" si="2"/>
        <v>0</v>
      </c>
      <c r="I80" s="19"/>
      <c r="J80" s="19">
        <f t="shared" si="3"/>
        <v>0</v>
      </c>
      <c r="M80" s="19"/>
      <c r="N80" s="19">
        <f t="shared" si="4"/>
        <v>329.60495582129761</v>
      </c>
      <c r="O80" s="19"/>
      <c r="P80" s="19">
        <f t="shared" si="5"/>
        <v>12898.303488398604</v>
      </c>
      <c r="Q80" s="19"/>
    </row>
    <row r="81" spans="2:20">
      <c r="B81" s="98"/>
      <c r="C81">
        <v>66</v>
      </c>
      <c r="D81" s="19">
        <f t="shared" si="13"/>
        <v>2545.6684790039058</v>
      </c>
      <c r="E81" s="19">
        <f t="shared" si="8"/>
        <v>2216.0635231826082</v>
      </c>
      <c r="F81" s="19">
        <f t="shared" ref="F81:F144" si="14">D81-E81</f>
        <v>329.60495582129761</v>
      </c>
      <c r="G81" s="19"/>
      <c r="H81" s="19">
        <f t="shared" ref="H81:H144" si="15">IF(F81&lt;0,-F81,0)</f>
        <v>0</v>
      </c>
      <c r="I81" s="19"/>
      <c r="J81" s="19">
        <f t="shared" ref="J81:J144" si="16">(J80+H81)*(1+$E$12/12)</f>
        <v>0</v>
      </c>
      <c r="M81" s="19"/>
      <c r="N81" s="19">
        <f t="shared" ref="N81:N144" si="17">IF(F81&gt;0,F81,0)</f>
        <v>329.60495582129761</v>
      </c>
      <c r="O81" s="19"/>
      <c r="P81" s="19">
        <f t="shared" ref="P81:P144" si="18">(P80+N81)*(1+$E$12/12)</f>
        <v>13338.1410145884</v>
      </c>
      <c r="Q81" s="19"/>
    </row>
    <row r="82" spans="2:20">
      <c r="B82" s="98"/>
      <c r="C82">
        <v>67</v>
      </c>
      <c r="D82" s="19">
        <f t="shared" si="13"/>
        <v>2545.6684790039058</v>
      </c>
      <c r="E82" s="19">
        <f t="shared" ref="E82:E145" si="19">E81</f>
        <v>2216.0635231826082</v>
      </c>
      <c r="F82" s="19">
        <f t="shared" si="14"/>
        <v>329.60495582129761</v>
      </c>
      <c r="G82" s="19"/>
      <c r="H82" s="19">
        <f t="shared" si="15"/>
        <v>0</v>
      </c>
      <c r="I82" s="19"/>
      <c r="J82" s="19">
        <f t="shared" si="16"/>
        <v>0</v>
      </c>
      <c r="M82" s="19"/>
      <c r="N82" s="19">
        <f t="shared" si="17"/>
        <v>329.60495582129761</v>
      </c>
      <c r="O82" s="19"/>
      <c r="P82" s="19">
        <f t="shared" si="18"/>
        <v>13781.643853496445</v>
      </c>
      <c r="Q82" s="19"/>
    </row>
    <row r="83" spans="2:20">
      <c r="B83" s="98"/>
      <c r="C83">
        <v>68</v>
      </c>
      <c r="D83" s="19">
        <f t="shared" si="13"/>
        <v>2545.6684790039058</v>
      </c>
      <c r="E83" s="19">
        <f t="shared" si="19"/>
        <v>2216.0635231826082</v>
      </c>
      <c r="F83" s="19">
        <f t="shared" si="14"/>
        <v>329.60495582129761</v>
      </c>
      <c r="G83" s="19"/>
      <c r="H83" s="19">
        <f t="shared" si="15"/>
        <v>0</v>
      </c>
      <c r="I83" s="19"/>
      <c r="J83" s="19">
        <f t="shared" si="16"/>
        <v>0</v>
      </c>
      <c r="M83" s="19"/>
      <c r="N83" s="19">
        <f t="shared" si="17"/>
        <v>329.60495582129761</v>
      </c>
      <c r="O83" s="19"/>
      <c r="P83" s="19">
        <f t="shared" si="18"/>
        <v>14228.842549395391</v>
      </c>
      <c r="Q83" s="19"/>
    </row>
    <row r="84" spans="2:20">
      <c r="B84" s="98"/>
      <c r="C84">
        <v>69</v>
      </c>
      <c r="D84" s="19">
        <f t="shared" si="13"/>
        <v>2545.6684790039058</v>
      </c>
      <c r="E84" s="19">
        <f t="shared" si="19"/>
        <v>2216.0635231826082</v>
      </c>
      <c r="F84" s="19">
        <f t="shared" si="14"/>
        <v>329.60495582129761</v>
      </c>
      <c r="G84" s="19"/>
      <c r="H84" s="19">
        <f t="shared" si="15"/>
        <v>0</v>
      </c>
      <c r="I84" s="19"/>
      <c r="J84" s="19">
        <f t="shared" si="16"/>
        <v>0</v>
      </c>
      <c r="M84" s="19"/>
      <c r="N84" s="19">
        <f t="shared" si="17"/>
        <v>329.60495582129761</v>
      </c>
      <c r="O84" s="19"/>
      <c r="P84" s="19">
        <f t="shared" si="18"/>
        <v>14679.767901093493</v>
      </c>
      <c r="Q84" s="19"/>
    </row>
    <row r="85" spans="2:20">
      <c r="B85" s="98"/>
      <c r="C85">
        <v>70</v>
      </c>
      <c r="D85" s="19">
        <f t="shared" si="13"/>
        <v>2545.6684790039058</v>
      </c>
      <c r="E85" s="19">
        <f t="shared" si="19"/>
        <v>2216.0635231826082</v>
      </c>
      <c r="F85" s="19">
        <f t="shared" si="14"/>
        <v>329.60495582129761</v>
      </c>
      <c r="G85" s="19"/>
      <c r="H85" s="19">
        <f t="shared" si="15"/>
        <v>0</v>
      </c>
      <c r="I85" s="19"/>
      <c r="J85" s="19">
        <f t="shared" si="16"/>
        <v>0</v>
      </c>
      <c r="M85" s="19"/>
      <c r="N85" s="19">
        <f t="shared" si="17"/>
        <v>329.60495582129761</v>
      </c>
      <c r="O85" s="19"/>
      <c r="P85" s="19">
        <f t="shared" si="18"/>
        <v>15134.450964055748</v>
      </c>
      <c r="Q85" s="19"/>
    </row>
    <row r="86" spans="2:20">
      <c r="B86" s="98"/>
      <c r="C86">
        <v>71</v>
      </c>
      <c r="D86" s="19">
        <f t="shared" si="13"/>
        <v>2545.6684790039058</v>
      </c>
      <c r="E86" s="19">
        <f t="shared" si="19"/>
        <v>2216.0635231826082</v>
      </c>
      <c r="F86" s="19">
        <f t="shared" si="14"/>
        <v>329.60495582129761</v>
      </c>
      <c r="G86" s="19"/>
      <c r="H86" s="19">
        <f t="shared" si="15"/>
        <v>0</v>
      </c>
      <c r="I86" s="19"/>
      <c r="J86" s="19">
        <f t="shared" si="16"/>
        <v>0</v>
      </c>
      <c r="M86" s="19"/>
      <c r="N86" s="19">
        <f t="shared" si="17"/>
        <v>329.60495582129761</v>
      </c>
      <c r="O86" s="19"/>
      <c r="P86" s="19">
        <f t="shared" si="18"/>
        <v>15592.923052542688</v>
      </c>
      <c r="Q86" s="19"/>
    </row>
    <row r="87" spans="2:20">
      <c r="B87" s="98"/>
      <c r="C87">
        <v>72</v>
      </c>
      <c r="D87" s="19">
        <f t="shared" si="13"/>
        <v>2545.6684790039058</v>
      </c>
      <c r="E87" s="19">
        <f t="shared" si="19"/>
        <v>2216.0635231826082</v>
      </c>
      <c r="F87" s="19">
        <f t="shared" si="14"/>
        <v>329.60495582129761</v>
      </c>
      <c r="G87" s="19"/>
      <c r="H87" s="19">
        <f t="shared" si="15"/>
        <v>0</v>
      </c>
      <c r="I87" s="19"/>
      <c r="J87" s="19">
        <f t="shared" si="16"/>
        <v>0</v>
      </c>
      <c r="K87" s="19">
        <f>K75*(1+$E$12)</f>
        <v>141724.88000000009</v>
      </c>
      <c r="L87" s="57">
        <f>J87+K87</f>
        <v>141724.88000000009</v>
      </c>
      <c r="M87" s="19"/>
      <c r="N87" s="19">
        <f t="shared" si="17"/>
        <v>329.60495582129761</v>
      </c>
      <c r="O87" s="19"/>
      <c r="P87" s="19">
        <f t="shared" si="18"/>
        <v>16055.215741767019</v>
      </c>
      <c r="Q87" s="19">
        <f>Q75*(1+$E$7)</f>
        <v>477620.91861160001</v>
      </c>
      <c r="R87" s="19">
        <f>Q87-'Primary Residence Mortgage'!J88</f>
        <v>196186.25368872256</v>
      </c>
      <c r="S87" s="57">
        <f>P87+R87</f>
        <v>212241.46943048958</v>
      </c>
      <c r="T87" s="57"/>
    </row>
    <row r="88" spans="2:20">
      <c r="B88" s="98">
        <v>7</v>
      </c>
      <c r="C88">
        <v>73</v>
      </c>
      <c r="D88" s="19">
        <f>D87*(1+$E$10)</f>
        <v>2609.310190979003</v>
      </c>
      <c r="E88" s="19">
        <f t="shared" si="19"/>
        <v>2216.0635231826082</v>
      </c>
      <c r="F88" s="19">
        <f t="shared" si="14"/>
        <v>393.24666779639483</v>
      </c>
      <c r="G88" s="19"/>
      <c r="H88" s="19">
        <f t="shared" si="15"/>
        <v>0</v>
      </c>
      <c r="I88" s="19"/>
      <c r="J88" s="19">
        <f t="shared" si="16"/>
        <v>0</v>
      </c>
      <c r="M88" s="19"/>
      <c r="N88" s="19">
        <f t="shared" si="17"/>
        <v>393.24666779639483</v>
      </c>
      <c r="O88" s="19"/>
      <c r="P88" s="19">
        <f t="shared" si="18"/>
        <v>16585.532929643108</v>
      </c>
      <c r="Q88" s="19"/>
    </row>
    <row r="89" spans="2:20">
      <c r="B89" s="98"/>
      <c r="C89">
        <v>74</v>
      </c>
      <c r="D89" s="19">
        <f>D88</f>
        <v>2609.310190979003</v>
      </c>
      <c r="E89" s="19">
        <f t="shared" si="19"/>
        <v>2216.0635231826082</v>
      </c>
      <c r="F89" s="19">
        <f t="shared" si="14"/>
        <v>393.24666779639483</v>
      </c>
      <c r="G89" s="19"/>
      <c r="H89" s="19">
        <f t="shared" si="15"/>
        <v>0</v>
      </c>
      <c r="I89" s="19"/>
      <c r="J89" s="19">
        <f t="shared" si="16"/>
        <v>0</v>
      </c>
      <c r="M89" s="19"/>
      <c r="N89" s="19">
        <f t="shared" si="17"/>
        <v>393.24666779639483</v>
      </c>
      <c r="O89" s="19"/>
      <c r="P89" s="19">
        <f t="shared" si="18"/>
        <v>17120.269427418167</v>
      </c>
      <c r="Q89" s="19"/>
    </row>
    <row r="90" spans="2:20">
      <c r="B90" s="98"/>
      <c r="C90">
        <v>75</v>
      </c>
      <c r="D90" s="19">
        <f t="shared" ref="D90:D99" si="20">D89</f>
        <v>2609.310190979003</v>
      </c>
      <c r="E90" s="19">
        <f t="shared" si="19"/>
        <v>2216.0635231826082</v>
      </c>
      <c r="F90" s="19">
        <f t="shared" si="14"/>
        <v>393.24666779639483</v>
      </c>
      <c r="G90" s="19"/>
      <c r="H90" s="19">
        <f t="shared" si="15"/>
        <v>0</v>
      </c>
      <c r="I90" s="19"/>
      <c r="J90" s="19">
        <f t="shared" si="16"/>
        <v>0</v>
      </c>
      <c r="M90" s="19"/>
      <c r="N90" s="19">
        <f t="shared" si="17"/>
        <v>393.24666779639483</v>
      </c>
      <c r="O90" s="19"/>
      <c r="P90" s="19">
        <f t="shared" si="18"/>
        <v>17659.46206267468</v>
      </c>
      <c r="Q90" s="19"/>
    </row>
    <row r="91" spans="2:20">
      <c r="B91" s="98"/>
      <c r="C91">
        <v>76</v>
      </c>
      <c r="D91" s="19">
        <f t="shared" si="20"/>
        <v>2609.310190979003</v>
      </c>
      <c r="E91" s="19">
        <f t="shared" si="19"/>
        <v>2216.0635231826082</v>
      </c>
      <c r="F91" s="19">
        <f t="shared" si="14"/>
        <v>393.24666779639483</v>
      </c>
      <c r="G91" s="19"/>
      <c r="H91" s="19">
        <f t="shared" si="15"/>
        <v>0</v>
      </c>
      <c r="I91" s="19"/>
      <c r="J91" s="19">
        <f t="shared" si="16"/>
        <v>0</v>
      </c>
      <c r="M91" s="19"/>
      <c r="N91" s="19">
        <f t="shared" si="17"/>
        <v>393.24666779639483</v>
      </c>
      <c r="O91" s="19"/>
      <c r="P91" s="19">
        <f t="shared" si="18"/>
        <v>18203.147969891666</v>
      </c>
      <c r="Q91" s="19"/>
    </row>
    <row r="92" spans="2:20">
      <c r="B92" s="98"/>
      <c r="C92">
        <v>77</v>
      </c>
      <c r="D92" s="19">
        <f t="shared" si="20"/>
        <v>2609.310190979003</v>
      </c>
      <c r="E92" s="19">
        <f t="shared" si="19"/>
        <v>2216.0635231826082</v>
      </c>
      <c r="F92" s="19">
        <f t="shared" si="14"/>
        <v>393.24666779639483</v>
      </c>
      <c r="G92" s="19"/>
      <c r="H92" s="19">
        <f t="shared" si="15"/>
        <v>0</v>
      </c>
      <c r="I92" s="19"/>
      <c r="J92" s="19">
        <f t="shared" si="16"/>
        <v>0</v>
      </c>
      <c r="M92" s="19"/>
      <c r="N92" s="19">
        <f t="shared" si="17"/>
        <v>393.24666779639483</v>
      </c>
      <c r="O92" s="19"/>
      <c r="P92" s="19">
        <f t="shared" si="18"/>
        <v>18751.36459300213</v>
      </c>
      <c r="Q92" s="19"/>
    </row>
    <row r="93" spans="2:20">
      <c r="B93" s="98"/>
      <c r="C93">
        <v>78</v>
      </c>
      <c r="D93" s="19">
        <f t="shared" si="20"/>
        <v>2609.310190979003</v>
      </c>
      <c r="E93" s="19">
        <f t="shared" si="19"/>
        <v>2216.0635231826082</v>
      </c>
      <c r="F93" s="19">
        <f t="shared" si="14"/>
        <v>393.24666779639483</v>
      </c>
      <c r="G93" s="19"/>
      <c r="H93" s="19">
        <f t="shared" si="15"/>
        <v>0</v>
      </c>
      <c r="I93" s="19"/>
      <c r="J93" s="19">
        <f t="shared" si="16"/>
        <v>0</v>
      </c>
      <c r="M93" s="19"/>
      <c r="N93" s="19">
        <f t="shared" si="17"/>
        <v>393.24666779639483</v>
      </c>
      <c r="O93" s="19"/>
      <c r="P93" s="19">
        <f t="shared" si="18"/>
        <v>19304.149687971847</v>
      </c>
      <c r="Q93" s="19"/>
    </row>
    <row r="94" spans="2:20">
      <c r="B94" s="98"/>
      <c r="C94">
        <v>79</v>
      </c>
      <c r="D94" s="19">
        <f t="shared" si="20"/>
        <v>2609.310190979003</v>
      </c>
      <c r="E94" s="19">
        <f t="shared" si="19"/>
        <v>2216.0635231826082</v>
      </c>
      <c r="F94" s="19">
        <f t="shared" si="14"/>
        <v>393.24666779639483</v>
      </c>
      <c r="G94" s="19"/>
      <c r="H94" s="19">
        <f t="shared" si="15"/>
        <v>0</v>
      </c>
      <c r="I94" s="19"/>
      <c r="J94" s="19">
        <f t="shared" si="16"/>
        <v>0</v>
      </c>
      <c r="M94" s="19"/>
      <c r="N94" s="19">
        <f t="shared" si="17"/>
        <v>393.24666779639483</v>
      </c>
      <c r="O94" s="19"/>
      <c r="P94" s="19">
        <f t="shared" si="18"/>
        <v>19861.541325399645</v>
      </c>
      <c r="Q94" s="19"/>
    </row>
    <row r="95" spans="2:20">
      <c r="B95" s="98"/>
      <c r="C95">
        <v>80</v>
      </c>
      <c r="D95" s="19">
        <f t="shared" si="20"/>
        <v>2609.310190979003</v>
      </c>
      <c r="E95" s="19">
        <f t="shared" si="19"/>
        <v>2216.0635231826082</v>
      </c>
      <c r="F95" s="19">
        <f t="shared" si="14"/>
        <v>393.24666779639483</v>
      </c>
      <c r="G95" s="19"/>
      <c r="H95" s="19">
        <f t="shared" si="15"/>
        <v>0</v>
      </c>
      <c r="I95" s="19"/>
      <c r="J95" s="19">
        <f t="shared" si="16"/>
        <v>0</v>
      </c>
      <c r="M95" s="19"/>
      <c r="N95" s="19">
        <f t="shared" si="17"/>
        <v>393.24666779639483</v>
      </c>
      <c r="O95" s="19"/>
      <c r="P95" s="19">
        <f t="shared" si="18"/>
        <v>20423.57789313934</v>
      </c>
      <c r="Q95" s="19"/>
    </row>
    <row r="96" spans="2:20">
      <c r="B96" s="98"/>
      <c r="C96">
        <v>81</v>
      </c>
      <c r="D96" s="19">
        <f t="shared" si="20"/>
        <v>2609.310190979003</v>
      </c>
      <c r="E96" s="19">
        <f t="shared" si="19"/>
        <v>2216.0635231826082</v>
      </c>
      <c r="F96" s="19">
        <f t="shared" si="14"/>
        <v>393.24666779639483</v>
      </c>
      <c r="G96" s="19"/>
      <c r="H96" s="19">
        <f t="shared" si="15"/>
        <v>0</v>
      </c>
      <c r="I96" s="19"/>
      <c r="J96" s="19">
        <f t="shared" si="16"/>
        <v>0</v>
      </c>
      <c r="M96" s="19"/>
      <c r="N96" s="19">
        <f t="shared" si="17"/>
        <v>393.24666779639483</v>
      </c>
      <c r="O96" s="19"/>
      <c r="P96" s="19">
        <f t="shared" si="18"/>
        <v>20990.298098943531</v>
      </c>
      <c r="Q96" s="19"/>
    </row>
    <row r="97" spans="2:20">
      <c r="B97" s="98"/>
      <c r="C97">
        <v>82</v>
      </c>
      <c r="D97" s="19">
        <f t="shared" si="20"/>
        <v>2609.310190979003</v>
      </c>
      <c r="E97" s="19">
        <f t="shared" si="19"/>
        <v>2216.0635231826082</v>
      </c>
      <c r="F97" s="19">
        <f t="shared" si="14"/>
        <v>393.24666779639483</v>
      </c>
      <c r="G97" s="19"/>
      <c r="H97" s="19">
        <f t="shared" si="15"/>
        <v>0</v>
      </c>
      <c r="I97" s="19"/>
      <c r="J97" s="19">
        <f t="shared" si="16"/>
        <v>0</v>
      </c>
      <c r="M97" s="19"/>
      <c r="N97" s="19">
        <f t="shared" si="17"/>
        <v>393.24666779639483</v>
      </c>
      <c r="O97" s="19"/>
      <c r="P97" s="19">
        <f t="shared" si="18"/>
        <v>21561.740973129425</v>
      </c>
      <c r="Q97" s="19"/>
    </row>
    <row r="98" spans="2:20">
      <c r="B98" s="98"/>
      <c r="C98">
        <v>83</v>
      </c>
      <c r="D98" s="19">
        <f t="shared" si="20"/>
        <v>2609.310190979003</v>
      </c>
      <c r="E98" s="19">
        <f t="shared" si="19"/>
        <v>2216.0635231826082</v>
      </c>
      <c r="F98" s="19">
        <f t="shared" si="14"/>
        <v>393.24666779639483</v>
      </c>
      <c r="G98" s="19"/>
      <c r="H98" s="19">
        <f t="shared" si="15"/>
        <v>0</v>
      </c>
      <c r="I98" s="19"/>
      <c r="J98" s="19">
        <f t="shared" si="16"/>
        <v>0</v>
      </c>
      <c r="M98" s="19"/>
      <c r="N98" s="19">
        <f t="shared" si="17"/>
        <v>393.24666779639483</v>
      </c>
      <c r="O98" s="19"/>
      <c r="P98" s="19">
        <f t="shared" si="18"/>
        <v>22137.945871266867</v>
      </c>
      <c r="Q98" s="19"/>
    </row>
    <row r="99" spans="2:20">
      <c r="B99" s="98"/>
      <c r="C99">
        <v>84</v>
      </c>
      <c r="D99" s="19">
        <f t="shared" si="20"/>
        <v>2609.310190979003</v>
      </c>
      <c r="E99" s="19">
        <f t="shared" si="19"/>
        <v>2216.0635231826082</v>
      </c>
      <c r="F99" s="19">
        <f t="shared" si="14"/>
        <v>393.24666779639483</v>
      </c>
      <c r="G99" s="19"/>
      <c r="H99" s="19">
        <f t="shared" si="15"/>
        <v>0</v>
      </c>
      <c r="I99" s="19"/>
      <c r="J99" s="19">
        <f t="shared" si="16"/>
        <v>0</v>
      </c>
      <c r="K99" s="19">
        <f>K87*(1+$E$12)</f>
        <v>155897.3680000001</v>
      </c>
      <c r="L99" s="57">
        <f>J99+K99</f>
        <v>155897.3680000001</v>
      </c>
      <c r="M99" s="19"/>
      <c r="N99" s="19">
        <f t="shared" si="17"/>
        <v>393.24666779639483</v>
      </c>
      <c r="O99" s="19"/>
      <c r="P99" s="19">
        <f t="shared" si="18"/>
        <v>22718.952476888786</v>
      </c>
      <c r="Q99" s="19">
        <f>Q87*(1+$E$7)</f>
        <v>491949.54616994801</v>
      </c>
      <c r="R99" s="19">
        <f>Q99-'Primary Residence Mortgage'!J100</f>
        <v>217839.82851293712</v>
      </c>
      <c r="S99" s="57">
        <f>P99+R99</f>
        <v>240558.7809898259</v>
      </c>
      <c r="T99" s="57"/>
    </row>
    <row r="100" spans="2:20">
      <c r="B100" s="98">
        <v>8</v>
      </c>
      <c r="C100">
        <v>85</v>
      </c>
      <c r="D100" s="19">
        <f>D99*(1+$E$10)</f>
        <v>2674.5429457534779</v>
      </c>
      <c r="E100" s="19">
        <f t="shared" si="19"/>
        <v>2216.0635231826082</v>
      </c>
      <c r="F100" s="19">
        <f t="shared" si="14"/>
        <v>458.4794225708697</v>
      </c>
      <c r="G100" s="19"/>
      <c r="H100" s="19">
        <f t="shared" si="15"/>
        <v>0</v>
      </c>
      <c r="I100" s="19"/>
      <c r="J100" s="19">
        <f t="shared" si="16"/>
        <v>0</v>
      </c>
      <c r="M100" s="19"/>
      <c r="N100" s="19">
        <f t="shared" si="17"/>
        <v>458.4794225708697</v>
      </c>
      <c r="O100" s="19"/>
      <c r="P100" s="19">
        <f t="shared" si="18"/>
        <v>23370.577165288483</v>
      </c>
      <c r="Q100" s="19"/>
    </row>
    <row r="101" spans="2:20">
      <c r="B101" s="98"/>
      <c r="C101">
        <v>86</v>
      </c>
      <c r="D101" s="19">
        <f>D100</f>
        <v>2674.5429457534779</v>
      </c>
      <c r="E101" s="19">
        <f t="shared" si="19"/>
        <v>2216.0635231826082</v>
      </c>
      <c r="F101" s="19">
        <f t="shared" si="14"/>
        <v>458.4794225708697</v>
      </c>
      <c r="G101" s="19"/>
      <c r="H101" s="19">
        <f t="shared" si="15"/>
        <v>0</v>
      </c>
      <c r="I101" s="19"/>
      <c r="J101" s="19">
        <f t="shared" si="16"/>
        <v>0</v>
      </c>
      <c r="M101" s="19"/>
      <c r="N101" s="19">
        <f t="shared" si="17"/>
        <v>458.4794225708697</v>
      </c>
      <c r="O101" s="19"/>
      <c r="P101" s="19">
        <f t="shared" si="18"/>
        <v>24027.632059424846</v>
      </c>
      <c r="Q101" s="19"/>
    </row>
    <row r="102" spans="2:20">
      <c r="B102" s="98"/>
      <c r="C102">
        <v>87</v>
      </c>
      <c r="D102" s="19">
        <f t="shared" ref="D102:D111" si="21">D101</f>
        <v>2674.5429457534779</v>
      </c>
      <c r="E102" s="19">
        <f t="shared" si="19"/>
        <v>2216.0635231826082</v>
      </c>
      <c r="F102" s="19">
        <f t="shared" si="14"/>
        <v>458.4794225708697</v>
      </c>
      <c r="G102" s="19"/>
      <c r="H102" s="19">
        <f t="shared" si="15"/>
        <v>0</v>
      </c>
      <c r="I102" s="19"/>
      <c r="J102" s="19">
        <f t="shared" si="16"/>
        <v>0</v>
      </c>
      <c r="M102" s="19"/>
      <c r="N102" s="19">
        <f t="shared" si="17"/>
        <v>458.4794225708697</v>
      </c>
      <c r="O102" s="19"/>
      <c r="P102" s="19">
        <f t="shared" si="18"/>
        <v>24690.162411012345</v>
      </c>
      <c r="Q102" s="19"/>
    </row>
    <row r="103" spans="2:20">
      <c r="B103" s="98"/>
      <c r="C103">
        <v>88</v>
      </c>
      <c r="D103" s="19">
        <f t="shared" si="21"/>
        <v>2674.5429457534779</v>
      </c>
      <c r="E103" s="19">
        <f t="shared" si="19"/>
        <v>2216.0635231826082</v>
      </c>
      <c r="F103" s="19">
        <f t="shared" si="14"/>
        <v>458.4794225708697</v>
      </c>
      <c r="G103" s="19"/>
      <c r="H103" s="19">
        <f t="shared" si="15"/>
        <v>0</v>
      </c>
      <c r="I103" s="19"/>
      <c r="J103" s="19">
        <f t="shared" si="16"/>
        <v>0</v>
      </c>
      <c r="M103" s="19"/>
      <c r="N103" s="19">
        <f t="shared" si="17"/>
        <v>458.4794225708697</v>
      </c>
      <c r="O103" s="19"/>
      <c r="P103" s="19">
        <f t="shared" si="18"/>
        <v>25358.213848863074</v>
      </c>
      <c r="Q103" s="19"/>
    </row>
    <row r="104" spans="2:20">
      <c r="B104" s="98"/>
      <c r="C104">
        <v>89</v>
      </c>
      <c r="D104" s="19">
        <f t="shared" si="21"/>
        <v>2674.5429457534779</v>
      </c>
      <c r="E104" s="19">
        <f t="shared" si="19"/>
        <v>2216.0635231826082</v>
      </c>
      <c r="F104" s="19">
        <f t="shared" si="14"/>
        <v>458.4794225708697</v>
      </c>
      <c r="G104" s="19"/>
      <c r="H104" s="19">
        <f t="shared" si="15"/>
        <v>0</v>
      </c>
      <c r="I104" s="19"/>
      <c r="J104" s="19">
        <f t="shared" si="16"/>
        <v>0</v>
      </c>
      <c r="M104" s="19"/>
      <c r="N104" s="19">
        <f t="shared" si="17"/>
        <v>458.4794225708697</v>
      </c>
      <c r="O104" s="19"/>
      <c r="P104" s="19">
        <f t="shared" si="18"/>
        <v>26031.832382029224</v>
      </c>
      <c r="Q104" s="19"/>
    </row>
    <row r="105" spans="2:20">
      <c r="B105" s="98"/>
      <c r="C105">
        <v>90</v>
      </c>
      <c r="D105" s="19">
        <f t="shared" si="21"/>
        <v>2674.5429457534779</v>
      </c>
      <c r="E105" s="19">
        <f t="shared" si="19"/>
        <v>2216.0635231826082</v>
      </c>
      <c r="F105" s="19">
        <f t="shared" si="14"/>
        <v>458.4794225708697</v>
      </c>
      <c r="G105" s="19"/>
      <c r="H105" s="19">
        <f t="shared" si="15"/>
        <v>0</v>
      </c>
      <c r="I105" s="19"/>
      <c r="J105" s="19">
        <f t="shared" si="16"/>
        <v>0</v>
      </c>
      <c r="M105" s="19"/>
      <c r="N105" s="19">
        <f t="shared" si="17"/>
        <v>458.4794225708697</v>
      </c>
      <c r="O105" s="19"/>
      <c r="P105" s="19">
        <f t="shared" si="18"/>
        <v>26711.064402971759</v>
      </c>
      <c r="Q105" s="19"/>
    </row>
    <row r="106" spans="2:20">
      <c r="B106" s="98"/>
      <c r="C106">
        <v>91</v>
      </c>
      <c r="D106" s="19">
        <f t="shared" si="21"/>
        <v>2674.5429457534779</v>
      </c>
      <c r="E106" s="19">
        <f t="shared" si="19"/>
        <v>2216.0635231826082</v>
      </c>
      <c r="F106" s="19">
        <f t="shared" si="14"/>
        <v>458.4794225708697</v>
      </c>
      <c r="G106" s="19"/>
      <c r="H106" s="19">
        <f t="shared" si="15"/>
        <v>0</v>
      </c>
      <c r="I106" s="19"/>
      <c r="J106" s="19">
        <f t="shared" si="16"/>
        <v>0</v>
      </c>
      <c r="M106" s="19"/>
      <c r="N106" s="19">
        <f t="shared" si="17"/>
        <v>458.4794225708697</v>
      </c>
      <c r="O106" s="19"/>
      <c r="P106" s="19">
        <f t="shared" si="18"/>
        <v>27395.95669075548</v>
      </c>
      <c r="Q106" s="19"/>
    </row>
    <row r="107" spans="2:20">
      <c r="B107" s="98"/>
      <c r="C107">
        <v>92</v>
      </c>
      <c r="D107" s="19">
        <f t="shared" si="21"/>
        <v>2674.5429457534779</v>
      </c>
      <c r="E107" s="19">
        <f t="shared" si="19"/>
        <v>2216.0635231826082</v>
      </c>
      <c r="F107" s="19">
        <f t="shared" si="14"/>
        <v>458.4794225708697</v>
      </c>
      <c r="G107" s="19"/>
      <c r="H107" s="19">
        <f t="shared" si="15"/>
        <v>0</v>
      </c>
      <c r="I107" s="19"/>
      <c r="J107" s="19">
        <f t="shared" si="16"/>
        <v>0</v>
      </c>
      <c r="M107" s="19"/>
      <c r="N107" s="19">
        <f t="shared" si="17"/>
        <v>458.4794225708697</v>
      </c>
      <c r="O107" s="19"/>
      <c r="P107" s="19">
        <f t="shared" si="18"/>
        <v>28086.556414270734</v>
      </c>
      <c r="Q107" s="19"/>
    </row>
    <row r="108" spans="2:20">
      <c r="B108" s="98"/>
      <c r="C108">
        <v>93</v>
      </c>
      <c r="D108" s="19">
        <f t="shared" si="21"/>
        <v>2674.5429457534779</v>
      </c>
      <c r="E108" s="19">
        <f t="shared" si="19"/>
        <v>2216.0635231826082</v>
      </c>
      <c r="F108" s="19">
        <f t="shared" si="14"/>
        <v>458.4794225708697</v>
      </c>
      <c r="G108" s="19"/>
      <c r="H108" s="19">
        <f t="shared" si="15"/>
        <v>0</v>
      </c>
      <c r="I108" s="19"/>
      <c r="J108" s="19">
        <f t="shared" si="16"/>
        <v>0</v>
      </c>
      <c r="M108" s="19"/>
      <c r="N108" s="19">
        <f t="shared" si="17"/>
        <v>458.4794225708697</v>
      </c>
      <c r="O108" s="19"/>
      <c r="P108" s="19">
        <f t="shared" si="18"/>
        <v>28782.911135481947</v>
      </c>
      <c r="Q108" s="19"/>
    </row>
    <row r="109" spans="2:20">
      <c r="B109" s="98"/>
      <c r="C109">
        <v>94</v>
      </c>
      <c r="D109" s="19">
        <f t="shared" si="21"/>
        <v>2674.5429457534779</v>
      </c>
      <c r="E109" s="19">
        <f t="shared" si="19"/>
        <v>2216.0635231826082</v>
      </c>
      <c r="F109" s="19">
        <f t="shared" si="14"/>
        <v>458.4794225708697</v>
      </c>
      <c r="G109" s="19"/>
      <c r="H109" s="19">
        <f t="shared" si="15"/>
        <v>0</v>
      </c>
      <c r="I109" s="19"/>
      <c r="J109" s="19">
        <f t="shared" si="16"/>
        <v>0</v>
      </c>
      <c r="M109" s="19"/>
      <c r="N109" s="19">
        <f t="shared" si="17"/>
        <v>458.4794225708697</v>
      </c>
      <c r="O109" s="19"/>
      <c r="P109" s="19">
        <f t="shared" si="18"/>
        <v>29485.068812703255</v>
      </c>
      <c r="Q109" s="19"/>
    </row>
    <row r="110" spans="2:20">
      <c r="B110" s="98"/>
      <c r="C110">
        <v>95</v>
      </c>
      <c r="D110" s="19">
        <f t="shared" si="21"/>
        <v>2674.5429457534779</v>
      </c>
      <c r="E110" s="19">
        <f t="shared" si="19"/>
        <v>2216.0635231826082</v>
      </c>
      <c r="F110" s="19">
        <f t="shared" si="14"/>
        <v>458.4794225708697</v>
      </c>
      <c r="G110" s="19"/>
      <c r="H110" s="19">
        <f t="shared" si="15"/>
        <v>0</v>
      </c>
      <c r="I110" s="19"/>
      <c r="J110" s="19">
        <f t="shared" si="16"/>
        <v>0</v>
      </c>
      <c r="M110" s="19"/>
      <c r="N110" s="19">
        <f t="shared" si="17"/>
        <v>458.4794225708697</v>
      </c>
      <c r="O110" s="19"/>
      <c r="P110" s="19">
        <f t="shared" si="18"/>
        <v>30193.077803901408</v>
      </c>
      <c r="Q110" s="19"/>
    </row>
    <row r="111" spans="2:20">
      <c r="B111" s="98"/>
      <c r="C111">
        <v>96</v>
      </c>
      <c r="D111" s="19">
        <f t="shared" si="21"/>
        <v>2674.5429457534779</v>
      </c>
      <c r="E111" s="19">
        <f t="shared" si="19"/>
        <v>2216.0635231826082</v>
      </c>
      <c r="F111" s="19">
        <f t="shared" si="14"/>
        <v>458.4794225708697</v>
      </c>
      <c r="G111" s="19"/>
      <c r="H111" s="19">
        <f t="shared" si="15"/>
        <v>0</v>
      </c>
      <c r="I111" s="19"/>
      <c r="J111" s="19">
        <f t="shared" si="16"/>
        <v>0</v>
      </c>
      <c r="K111" s="19">
        <f>K99*(1+$E$12)</f>
        <v>171487.10480000012</v>
      </c>
      <c r="L111" s="57">
        <f>J111+K111</f>
        <v>171487.10480000012</v>
      </c>
      <c r="M111" s="19"/>
      <c r="N111" s="19">
        <f t="shared" si="17"/>
        <v>458.4794225708697</v>
      </c>
      <c r="O111" s="19"/>
      <c r="P111" s="19">
        <f t="shared" si="18"/>
        <v>30906.986870026212</v>
      </c>
      <c r="Q111" s="19">
        <f>Q99*(1+$E$7)</f>
        <v>506708.03255504643</v>
      </c>
      <c r="R111" s="19">
        <f>Q111-'Primary Residence Mortgage'!J112</f>
        <v>240206.50959294388</v>
      </c>
      <c r="S111" s="57">
        <f>P111+R111</f>
        <v>271113.4964629701</v>
      </c>
      <c r="T111" s="57"/>
    </row>
    <row r="112" spans="2:20">
      <c r="B112" s="98">
        <v>9</v>
      </c>
      <c r="C112">
        <v>97</v>
      </c>
      <c r="D112" s="19">
        <f>D111*(1+$E$10)</f>
        <v>2741.4065193973147</v>
      </c>
      <c r="E112" s="19">
        <f t="shared" si="19"/>
        <v>2216.0635231826082</v>
      </c>
      <c r="F112" s="19">
        <f t="shared" si="14"/>
        <v>525.34299621470655</v>
      </c>
      <c r="G112" s="19"/>
      <c r="H112" s="19">
        <f t="shared" si="15"/>
        <v>0</v>
      </c>
      <c r="I112" s="19"/>
      <c r="J112" s="19">
        <f t="shared" si="16"/>
        <v>0</v>
      </c>
      <c r="M112" s="19"/>
      <c r="N112" s="19">
        <f t="shared" si="17"/>
        <v>525.34299621470655</v>
      </c>
      <c r="O112" s="19"/>
      <c r="P112" s="19">
        <f t="shared" si="18"/>
        <v>31694.26594845959</v>
      </c>
      <c r="Q112" s="19"/>
    </row>
    <row r="113" spans="2:20">
      <c r="B113" s="98"/>
      <c r="C113">
        <v>98</v>
      </c>
      <c r="D113" s="19">
        <f>D112</f>
        <v>2741.4065193973147</v>
      </c>
      <c r="E113" s="19">
        <f t="shared" si="19"/>
        <v>2216.0635231826082</v>
      </c>
      <c r="F113" s="19">
        <f t="shared" si="14"/>
        <v>525.34299621470655</v>
      </c>
      <c r="G113" s="19"/>
      <c r="H113" s="19">
        <f t="shared" si="15"/>
        <v>0</v>
      </c>
      <c r="I113" s="19"/>
      <c r="J113" s="19">
        <f t="shared" si="16"/>
        <v>0</v>
      </c>
      <c r="M113" s="19"/>
      <c r="N113" s="19">
        <f t="shared" si="17"/>
        <v>525.34299621470655</v>
      </c>
      <c r="O113" s="19"/>
      <c r="P113" s="19">
        <f t="shared" si="18"/>
        <v>32488.105685879913</v>
      </c>
      <c r="Q113" s="19"/>
    </row>
    <row r="114" spans="2:20">
      <c r="B114" s="98"/>
      <c r="C114">
        <v>99</v>
      </c>
      <c r="D114" s="19">
        <f t="shared" ref="D114:D123" si="22">D113</f>
        <v>2741.4065193973147</v>
      </c>
      <c r="E114" s="19">
        <f t="shared" si="19"/>
        <v>2216.0635231826082</v>
      </c>
      <c r="F114" s="19">
        <f t="shared" si="14"/>
        <v>525.34299621470655</v>
      </c>
      <c r="G114" s="19"/>
      <c r="H114" s="19">
        <f t="shared" si="15"/>
        <v>0</v>
      </c>
      <c r="I114" s="19"/>
      <c r="J114" s="19">
        <f t="shared" si="16"/>
        <v>0</v>
      </c>
      <c r="M114" s="19"/>
      <c r="N114" s="19">
        <f t="shared" si="17"/>
        <v>525.34299621470655</v>
      </c>
      <c r="O114" s="19"/>
      <c r="P114" s="19">
        <f t="shared" si="18"/>
        <v>33288.560754445403</v>
      </c>
      <c r="Q114" s="19"/>
    </row>
    <row r="115" spans="2:20">
      <c r="B115" s="98"/>
      <c r="C115">
        <v>100</v>
      </c>
      <c r="D115" s="19">
        <f t="shared" si="22"/>
        <v>2741.4065193973147</v>
      </c>
      <c r="E115" s="19">
        <f t="shared" si="19"/>
        <v>2216.0635231826082</v>
      </c>
      <c r="F115" s="19">
        <f t="shared" si="14"/>
        <v>525.34299621470655</v>
      </c>
      <c r="G115" s="19"/>
      <c r="H115" s="19">
        <f t="shared" si="15"/>
        <v>0</v>
      </c>
      <c r="I115" s="19"/>
      <c r="J115" s="19">
        <f t="shared" si="16"/>
        <v>0</v>
      </c>
      <c r="M115" s="19"/>
      <c r="N115" s="19">
        <f t="shared" si="17"/>
        <v>525.34299621470655</v>
      </c>
      <c r="O115" s="19"/>
      <c r="P115" s="19">
        <f t="shared" si="18"/>
        <v>34095.686281915609</v>
      </c>
      <c r="Q115" s="19"/>
    </row>
    <row r="116" spans="2:20">
      <c r="B116" s="98"/>
      <c r="C116">
        <v>101</v>
      </c>
      <c r="D116" s="19">
        <f t="shared" si="22"/>
        <v>2741.4065193973147</v>
      </c>
      <c r="E116" s="19">
        <f t="shared" si="19"/>
        <v>2216.0635231826082</v>
      </c>
      <c r="F116" s="19">
        <f t="shared" si="14"/>
        <v>525.34299621470655</v>
      </c>
      <c r="G116" s="19"/>
      <c r="H116" s="19">
        <f t="shared" si="15"/>
        <v>0</v>
      </c>
      <c r="I116" s="19"/>
      <c r="J116" s="19">
        <f t="shared" si="16"/>
        <v>0</v>
      </c>
      <c r="M116" s="19"/>
      <c r="N116" s="19">
        <f t="shared" si="17"/>
        <v>525.34299621470655</v>
      </c>
      <c r="O116" s="19"/>
      <c r="P116" s="19">
        <f t="shared" si="18"/>
        <v>34909.537855448063</v>
      </c>
      <c r="Q116" s="19"/>
    </row>
    <row r="117" spans="2:20">
      <c r="B117" s="98"/>
      <c r="C117">
        <v>102</v>
      </c>
      <c r="D117" s="19">
        <f t="shared" si="22"/>
        <v>2741.4065193973147</v>
      </c>
      <c r="E117" s="19">
        <f t="shared" si="19"/>
        <v>2216.0635231826082</v>
      </c>
      <c r="F117" s="19">
        <f t="shared" si="14"/>
        <v>525.34299621470655</v>
      </c>
      <c r="G117" s="19"/>
      <c r="H117" s="19">
        <f t="shared" si="15"/>
        <v>0</v>
      </c>
      <c r="I117" s="19"/>
      <c r="J117" s="19">
        <f t="shared" si="16"/>
        <v>0</v>
      </c>
      <c r="M117" s="19"/>
      <c r="N117" s="19">
        <f t="shared" si="17"/>
        <v>525.34299621470655</v>
      </c>
      <c r="O117" s="19"/>
      <c r="P117" s="19">
        <f t="shared" si="18"/>
        <v>35730.171525426624</v>
      </c>
      <c r="Q117" s="19"/>
    </row>
    <row r="118" spans="2:20">
      <c r="B118" s="98"/>
      <c r="C118">
        <v>103</v>
      </c>
      <c r="D118" s="19">
        <f t="shared" si="22"/>
        <v>2741.4065193973147</v>
      </c>
      <c r="E118" s="19">
        <f t="shared" si="19"/>
        <v>2216.0635231826082</v>
      </c>
      <c r="F118" s="19">
        <f t="shared" si="14"/>
        <v>525.34299621470655</v>
      </c>
      <c r="G118" s="19"/>
      <c r="H118" s="19">
        <f t="shared" si="15"/>
        <v>0</v>
      </c>
      <c r="I118" s="19"/>
      <c r="J118" s="19">
        <f t="shared" si="16"/>
        <v>0</v>
      </c>
      <c r="M118" s="19"/>
      <c r="N118" s="19">
        <f t="shared" si="17"/>
        <v>525.34299621470655</v>
      </c>
      <c r="O118" s="19"/>
      <c r="P118" s="19">
        <f t="shared" si="18"/>
        <v>36557.643809321671</v>
      </c>
      <c r="Q118" s="19"/>
    </row>
    <row r="119" spans="2:20">
      <c r="B119" s="98"/>
      <c r="C119">
        <v>104</v>
      </c>
      <c r="D119" s="19">
        <f t="shared" si="22"/>
        <v>2741.4065193973147</v>
      </c>
      <c r="E119" s="19">
        <f t="shared" si="19"/>
        <v>2216.0635231826082</v>
      </c>
      <c r="F119" s="19">
        <f t="shared" si="14"/>
        <v>525.34299621470655</v>
      </c>
      <c r="G119" s="19"/>
      <c r="H119" s="19">
        <f t="shared" si="15"/>
        <v>0</v>
      </c>
      <c r="I119" s="19"/>
      <c r="J119" s="19">
        <f t="shared" si="16"/>
        <v>0</v>
      </c>
      <c r="M119" s="19"/>
      <c r="N119" s="19">
        <f t="shared" si="17"/>
        <v>525.34299621470655</v>
      </c>
      <c r="O119" s="19"/>
      <c r="P119" s="19">
        <f t="shared" si="18"/>
        <v>37392.011695582514</v>
      </c>
      <c r="Q119" s="19"/>
    </row>
    <row r="120" spans="2:20">
      <c r="B120" s="98"/>
      <c r="C120">
        <v>105</v>
      </c>
      <c r="D120" s="19">
        <f t="shared" si="22"/>
        <v>2741.4065193973147</v>
      </c>
      <c r="E120" s="19">
        <f t="shared" si="19"/>
        <v>2216.0635231826082</v>
      </c>
      <c r="F120" s="19">
        <f t="shared" si="14"/>
        <v>525.34299621470655</v>
      </c>
      <c r="G120" s="19"/>
      <c r="H120" s="19">
        <f t="shared" si="15"/>
        <v>0</v>
      </c>
      <c r="I120" s="19"/>
      <c r="J120" s="19">
        <f t="shared" si="16"/>
        <v>0</v>
      </c>
      <c r="M120" s="19"/>
      <c r="N120" s="19">
        <f t="shared" si="17"/>
        <v>525.34299621470655</v>
      </c>
      <c r="O120" s="19"/>
      <c r="P120" s="19">
        <f t="shared" si="18"/>
        <v>38233.332647562194</v>
      </c>
      <c r="Q120" s="19"/>
    </row>
    <row r="121" spans="2:20">
      <c r="B121" s="98"/>
      <c r="C121">
        <v>106</v>
      </c>
      <c r="D121" s="19">
        <f t="shared" si="22"/>
        <v>2741.4065193973147</v>
      </c>
      <c r="E121" s="19">
        <f t="shared" si="19"/>
        <v>2216.0635231826082</v>
      </c>
      <c r="F121" s="19">
        <f t="shared" si="14"/>
        <v>525.34299621470655</v>
      </c>
      <c r="G121" s="19"/>
      <c r="H121" s="19">
        <f t="shared" si="15"/>
        <v>0</v>
      </c>
      <c r="I121" s="19"/>
      <c r="J121" s="19">
        <f t="shared" si="16"/>
        <v>0</v>
      </c>
      <c r="M121" s="19"/>
      <c r="N121" s="19">
        <f t="shared" si="17"/>
        <v>525.34299621470655</v>
      </c>
      <c r="O121" s="19"/>
      <c r="P121" s="19">
        <f t="shared" si="18"/>
        <v>39081.664607475039</v>
      </c>
      <c r="Q121" s="19"/>
    </row>
    <row r="122" spans="2:20">
      <c r="B122" s="98"/>
      <c r="C122">
        <v>107</v>
      </c>
      <c r="D122" s="19">
        <f t="shared" si="22"/>
        <v>2741.4065193973147</v>
      </c>
      <c r="E122" s="19">
        <f t="shared" si="19"/>
        <v>2216.0635231826082</v>
      </c>
      <c r="F122" s="19">
        <f t="shared" si="14"/>
        <v>525.34299621470655</v>
      </c>
      <c r="G122" s="19"/>
      <c r="H122" s="19">
        <f t="shared" si="15"/>
        <v>0</v>
      </c>
      <c r="I122" s="19"/>
      <c r="J122" s="19">
        <f t="shared" si="16"/>
        <v>0</v>
      </c>
      <c r="M122" s="19"/>
      <c r="N122" s="19">
        <f t="shared" si="17"/>
        <v>525.34299621470655</v>
      </c>
      <c r="O122" s="19"/>
      <c r="P122" s="19">
        <f t="shared" si="18"/>
        <v>39937.06600038716</v>
      </c>
      <c r="Q122" s="19"/>
    </row>
    <row r="123" spans="2:20">
      <c r="B123" s="98"/>
      <c r="C123">
        <v>108</v>
      </c>
      <c r="D123" s="19">
        <f t="shared" si="22"/>
        <v>2741.4065193973147</v>
      </c>
      <c r="E123" s="19">
        <f t="shared" si="19"/>
        <v>2216.0635231826082</v>
      </c>
      <c r="F123" s="19">
        <f t="shared" si="14"/>
        <v>525.34299621470655</v>
      </c>
      <c r="G123" s="19"/>
      <c r="H123" s="19">
        <f t="shared" si="15"/>
        <v>0</v>
      </c>
      <c r="I123" s="19"/>
      <c r="J123" s="19">
        <f t="shared" si="16"/>
        <v>0</v>
      </c>
      <c r="K123" s="19">
        <f>K111*(1+$E$12)</f>
        <v>188635.81528000016</v>
      </c>
      <c r="L123" s="57">
        <f>J123+K123</f>
        <v>188635.81528000016</v>
      </c>
      <c r="M123" s="19"/>
      <c r="N123" s="19">
        <f t="shared" si="17"/>
        <v>525.34299621470655</v>
      </c>
      <c r="O123" s="19"/>
      <c r="P123" s="19">
        <f t="shared" si="18"/>
        <v>40799.595738240212</v>
      </c>
      <c r="Q123" s="19">
        <f>Q111*(1+$E$7)</f>
        <v>521909.27353169787</v>
      </c>
      <c r="R123" s="19">
        <f>Q123-'Primary Residence Mortgage'!J124</f>
        <v>263310.14555138152</v>
      </c>
      <c r="S123" s="57">
        <f>P123+R123</f>
        <v>304109.74128962174</v>
      </c>
      <c r="T123" s="57"/>
    </row>
    <row r="124" spans="2:20">
      <c r="B124" s="98">
        <v>10</v>
      </c>
      <c r="C124">
        <v>109</v>
      </c>
      <c r="D124" s="19">
        <f>D123*(1+$E$10)</f>
        <v>2809.9416823822471</v>
      </c>
      <c r="E124" s="19">
        <f t="shared" si="19"/>
        <v>2216.0635231826082</v>
      </c>
      <c r="F124" s="19">
        <f t="shared" si="14"/>
        <v>593.87815919963896</v>
      </c>
      <c r="G124" s="19"/>
      <c r="H124" s="19">
        <f t="shared" si="15"/>
        <v>0</v>
      </c>
      <c r="I124" s="19"/>
      <c r="J124" s="19">
        <f t="shared" si="16"/>
        <v>0</v>
      </c>
      <c r="M124" s="19"/>
      <c r="N124" s="19">
        <f t="shared" si="17"/>
        <v>593.87815919963896</v>
      </c>
      <c r="O124" s="19"/>
      <c r="P124" s="19">
        <f t="shared" si="18"/>
        <v>41738.419513251851</v>
      </c>
      <c r="Q124" s="19"/>
    </row>
    <row r="125" spans="2:20">
      <c r="B125" s="98"/>
      <c r="C125">
        <v>110</v>
      </c>
      <c r="D125" s="19">
        <f>D124</f>
        <v>2809.9416823822471</v>
      </c>
      <c r="E125" s="19">
        <f t="shared" si="19"/>
        <v>2216.0635231826082</v>
      </c>
      <c r="F125" s="19">
        <f t="shared" si="14"/>
        <v>593.87815919963896</v>
      </c>
      <c r="G125" s="19"/>
      <c r="H125" s="19">
        <f t="shared" si="15"/>
        <v>0</v>
      </c>
      <c r="I125" s="19"/>
      <c r="J125" s="19">
        <f t="shared" si="16"/>
        <v>0</v>
      </c>
      <c r="M125" s="19"/>
      <c r="N125" s="19">
        <f t="shared" si="17"/>
        <v>593.87815919963896</v>
      </c>
      <c r="O125" s="19"/>
      <c r="P125" s="19">
        <f t="shared" si="18"/>
        <v>42685.066819721913</v>
      </c>
      <c r="Q125" s="19"/>
    </row>
    <row r="126" spans="2:20">
      <c r="B126" s="98"/>
      <c r="C126">
        <v>111</v>
      </c>
      <c r="D126" s="19">
        <f t="shared" ref="D126:D135" si="23">D125</f>
        <v>2809.9416823822471</v>
      </c>
      <c r="E126" s="19">
        <f t="shared" si="19"/>
        <v>2216.0635231826082</v>
      </c>
      <c r="F126" s="19">
        <f t="shared" si="14"/>
        <v>593.87815919963896</v>
      </c>
      <c r="G126" s="19"/>
      <c r="H126" s="19">
        <f t="shared" si="15"/>
        <v>0</v>
      </c>
      <c r="I126" s="19"/>
      <c r="J126" s="19">
        <f t="shared" si="16"/>
        <v>0</v>
      </c>
      <c r="M126" s="19"/>
      <c r="N126" s="19">
        <f t="shared" si="17"/>
        <v>593.87815919963896</v>
      </c>
      <c r="O126" s="19"/>
      <c r="P126" s="19">
        <f t="shared" si="18"/>
        <v>43639.602853745899</v>
      </c>
      <c r="Q126" s="19"/>
    </row>
    <row r="127" spans="2:20">
      <c r="B127" s="98"/>
      <c r="C127">
        <v>112</v>
      </c>
      <c r="D127" s="19">
        <f t="shared" si="23"/>
        <v>2809.9416823822471</v>
      </c>
      <c r="E127" s="19">
        <f t="shared" si="19"/>
        <v>2216.0635231826082</v>
      </c>
      <c r="F127" s="19">
        <f t="shared" si="14"/>
        <v>593.87815919963896</v>
      </c>
      <c r="G127" s="19"/>
      <c r="H127" s="19">
        <f t="shared" si="15"/>
        <v>0</v>
      </c>
      <c r="I127" s="19"/>
      <c r="J127" s="19">
        <f t="shared" si="16"/>
        <v>0</v>
      </c>
      <c r="M127" s="19"/>
      <c r="N127" s="19">
        <f t="shared" si="17"/>
        <v>593.87815919963896</v>
      </c>
      <c r="O127" s="19"/>
      <c r="P127" s="19">
        <f t="shared" si="18"/>
        <v>44602.093354720084</v>
      </c>
      <c r="Q127" s="19"/>
    </row>
    <row r="128" spans="2:20">
      <c r="B128" s="98"/>
      <c r="C128">
        <v>113</v>
      </c>
      <c r="D128" s="19">
        <f t="shared" si="23"/>
        <v>2809.9416823822471</v>
      </c>
      <c r="E128" s="19">
        <f t="shared" si="19"/>
        <v>2216.0635231826082</v>
      </c>
      <c r="F128" s="19">
        <f t="shared" si="14"/>
        <v>593.87815919963896</v>
      </c>
      <c r="G128" s="19"/>
      <c r="H128" s="19">
        <f t="shared" si="15"/>
        <v>0</v>
      </c>
      <c r="I128" s="19"/>
      <c r="J128" s="19">
        <f t="shared" si="16"/>
        <v>0</v>
      </c>
      <c r="M128" s="19"/>
      <c r="N128" s="19">
        <f t="shared" si="17"/>
        <v>593.87815919963896</v>
      </c>
      <c r="O128" s="19"/>
      <c r="P128" s="19">
        <f t="shared" si="18"/>
        <v>45572.604609869049</v>
      </c>
      <c r="Q128" s="19"/>
    </row>
    <row r="129" spans="2:20">
      <c r="B129" s="98"/>
      <c r="C129">
        <v>114</v>
      </c>
      <c r="D129" s="19">
        <f t="shared" si="23"/>
        <v>2809.9416823822471</v>
      </c>
      <c r="E129" s="19">
        <f t="shared" si="19"/>
        <v>2216.0635231826082</v>
      </c>
      <c r="F129" s="19">
        <f t="shared" si="14"/>
        <v>593.87815919963896</v>
      </c>
      <c r="G129" s="19"/>
      <c r="H129" s="19">
        <f t="shared" si="15"/>
        <v>0</v>
      </c>
      <c r="I129" s="19"/>
      <c r="J129" s="19">
        <f t="shared" si="16"/>
        <v>0</v>
      </c>
      <c r="M129" s="19"/>
      <c r="N129" s="19">
        <f t="shared" si="17"/>
        <v>593.87815919963896</v>
      </c>
      <c r="O129" s="19"/>
      <c r="P129" s="19">
        <f t="shared" si="18"/>
        <v>46551.203458810924</v>
      </c>
      <c r="Q129" s="19"/>
    </row>
    <row r="130" spans="2:20">
      <c r="B130" s="98"/>
      <c r="C130">
        <v>115</v>
      </c>
      <c r="D130" s="19">
        <f t="shared" si="23"/>
        <v>2809.9416823822471</v>
      </c>
      <c r="E130" s="19">
        <f t="shared" si="19"/>
        <v>2216.0635231826082</v>
      </c>
      <c r="F130" s="19">
        <f t="shared" si="14"/>
        <v>593.87815919963896</v>
      </c>
      <c r="G130" s="19"/>
      <c r="H130" s="19">
        <f t="shared" si="15"/>
        <v>0</v>
      </c>
      <c r="I130" s="19"/>
      <c r="J130" s="19">
        <f t="shared" si="16"/>
        <v>0</v>
      </c>
      <c r="M130" s="19"/>
      <c r="N130" s="19">
        <f t="shared" si="17"/>
        <v>593.87815919963896</v>
      </c>
      <c r="O130" s="19"/>
      <c r="P130" s="19">
        <f t="shared" si="18"/>
        <v>47537.957298160647</v>
      </c>
      <c r="Q130" s="19"/>
    </row>
    <row r="131" spans="2:20">
      <c r="B131" s="98"/>
      <c r="C131">
        <v>116</v>
      </c>
      <c r="D131" s="19">
        <f t="shared" si="23"/>
        <v>2809.9416823822471</v>
      </c>
      <c r="E131" s="19">
        <f t="shared" si="19"/>
        <v>2216.0635231826082</v>
      </c>
      <c r="F131" s="19">
        <f t="shared" si="14"/>
        <v>593.87815919963896</v>
      </c>
      <c r="G131" s="19"/>
      <c r="H131" s="19">
        <f t="shared" si="15"/>
        <v>0</v>
      </c>
      <c r="I131" s="19"/>
      <c r="J131" s="19">
        <f t="shared" si="16"/>
        <v>0</v>
      </c>
      <c r="M131" s="19"/>
      <c r="N131" s="19">
        <f t="shared" si="17"/>
        <v>593.87815919963896</v>
      </c>
      <c r="O131" s="19"/>
      <c r="P131" s="19">
        <f t="shared" si="18"/>
        <v>48532.934086171619</v>
      </c>
      <c r="Q131" s="19"/>
    </row>
    <row r="132" spans="2:20">
      <c r="B132" s="98"/>
      <c r="C132">
        <v>117</v>
      </c>
      <c r="D132" s="19">
        <f t="shared" si="23"/>
        <v>2809.9416823822471</v>
      </c>
      <c r="E132" s="19">
        <f t="shared" si="19"/>
        <v>2216.0635231826082</v>
      </c>
      <c r="F132" s="19">
        <f t="shared" si="14"/>
        <v>593.87815919963896</v>
      </c>
      <c r="G132" s="19"/>
      <c r="H132" s="19">
        <f t="shared" si="15"/>
        <v>0</v>
      </c>
      <c r="I132" s="19"/>
      <c r="J132" s="19">
        <f t="shared" si="16"/>
        <v>0</v>
      </c>
      <c r="M132" s="19"/>
      <c r="N132" s="19">
        <f t="shared" si="17"/>
        <v>593.87815919963896</v>
      </c>
      <c r="O132" s="19"/>
      <c r="P132" s="19">
        <f t="shared" si="18"/>
        <v>49536.202347416016</v>
      </c>
      <c r="Q132" s="19"/>
    </row>
    <row r="133" spans="2:20">
      <c r="B133" s="98"/>
      <c r="C133">
        <v>118</v>
      </c>
      <c r="D133" s="19">
        <f t="shared" si="23"/>
        <v>2809.9416823822471</v>
      </c>
      <c r="E133" s="19">
        <f t="shared" si="19"/>
        <v>2216.0635231826082</v>
      </c>
      <c r="F133" s="19">
        <f t="shared" si="14"/>
        <v>593.87815919963896</v>
      </c>
      <c r="G133" s="19"/>
      <c r="H133" s="19">
        <f t="shared" si="15"/>
        <v>0</v>
      </c>
      <c r="I133" s="19"/>
      <c r="J133" s="19">
        <f t="shared" si="16"/>
        <v>0</v>
      </c>
      <c r="M133" s="19"/>
      <c r="N133" s="19">
        <f t="shared" si="17"/>
        <v>593.87815919963896</v>
      </c>
      <c r="O133" s="19"/>
      <c r="P133" s="19">
        <f t="shared" si="18"/>
        <v>50547.831177504115</v>
      </c>
      <c r="Q133" s="19"/>
    </row>
    <row r="134" spans="2:20">
      <c r="B134" s="98"/>
      <c r="C134">
        <v>119</v>
      </c>
      <c r="D134" s="19">
        <f t="shared" si="23"/>
        <v>2809.9416823822471</v>
      </c>
      <c r="E134" s="19">
        <f t="shared" si="19"/>
        <v>2216.0635231826082</v>
      </c>
      <c r="F134" s="19">
        <f t="shared" si="14"/>
        <v>593.87815919963896</v>
      </c>
      <c r="G134" s="19"/>
      <c r="H134" s="19">
        <f t="shared" si="15"/>
        <v>0</v>
      </c>
      <c r="I134" s="19"/>
      <c r="J134" s="19">
        <f t="shared" si="16"/>
        <v>0</v>
      </c>
      <c r="M134" s="19"/>
      <c r="N134" s="19">
        <f t="shared" si="17"/>
        <v>593.87815919963896</v>
      </c>
      <c r="O134" s="19"/>
      <c r="P134" s="19">
        <f t="shared" si="18"/>
        <v>51567.890247842952</v>
      </c>
      <c r="Q134" s="19"/>
    </row>
    <row r="135" spans="2:20">
      <c r="B135" s="98"/>
      <c r="C135">
        <v>120</v>
      </c>
      <c r="D135" s="19">
        <f t="shared" si="23"/>
        <v>2809.9416823822471</v>
      </c>
      <c r="E135" s="19">
        <f t="shared" si="19"/>
        <v>2216.0635231826082</v>
      </c>
      <c r="F135" s="19">
        <f t="shared" si="14"/>
        <v>593.87815919963896</v>
      </c>
      <c r="G135" s="19"/>
      <c r="H135" s="19">
        <f t="shared" si="15"/>
        <v>0</v>
      </c>
      <c r="I135" s="19"/>
      <c r="J135" s="19">
        <f t="shared" si="16"/>
        <v>0</v>
      </c>
      <c r="K135" s="19">
        <f>K123*(1+$E$12)</f>
        <v>207499.39680800019</v>
      </c>
      <c r="L135" s="57">
        <f>J135+K135</f>
        <v>207499.39680800019</v>
      </c>
      <c r="M135" s="19"/>
      <c r="N135" s="19">
        <f t="shared" si="17"/>
        <v>593.87815919963896</v>
      </c>
      <c r="O135" s="19"/>
      <c r="P135" s="19">
        <f t="shared" si="18"/>
        <v>52596.449810434613</v>
      </c>
      <c r="Q135" s="19">
        <f>Q123*(1+$E$7)</f>
        <v>537566.55173764878</v>
      </c>
      <c r="R135" s="19">
        <f>Q135-'Primary Residence Mortgage'!J136</f>
        <v>287175.39541846118</v>
      </c>
      <c r="S135" s="57">
        <f>P135+R135</f>
        <v>339771.84522889578</v>
      </c>
      <c r="T135" s="57"/>
    </row>
    <row r="136" spans="2:20">
      <c r="B136" s="98">
        <v>11</v>
      </c>
      <c r="C136">
        <v>121</v>
      </c>
      <c r="D136" s="19">
        <f>D135*(1+$E$10)</f>
        <v>2880.1902244418029</v>
      </c>
      <c r="E136" s="19">
        <f t="shared" si="19"/>
        <v>2216.0635231826082</v>
      </c>
      <c r="F136" s="19">
        <f t="shared" si="14"/>
        <v>664.12670125919476</v>
      </c>
      <c r="G136" s="19"/>
      <c r="H136" s="19">
        <f t="shared" si="15"/>
        <v>0</v>
      </c>
      <c r="I136" s="19"/>
      <c r="J136" s="19">
        <f t="shared" si="16"/>
        <v>0</v>
      </c>
      <c r="M136" s="19"/>
      <c r="N136" s="19">
        <f t="shared" si="17"/>
        <v>664.12670125919476</v>
      </c>
      <c r="O136" s="19"/>
      <c r="P136" s="19">
        <f t="shared" si="18"/>
        <v>53704.414649291255</v>
      </c>
      <c r="Q136" s="19"/>
    </row>
    <row r="137" spans="2:20">
      <c r="B137" s="98"/>
      <c r="C137">
        <v>122</v>
      </c>
      <c r="D137" s="19">
        <f>D136</f>
        <v>2880.1902244418029</v>
      </c>
      <c r="E137" s="19">
        <f t="shared" si="19"/>
        <v>2216.0635231826082</v>
      </c>
      <c r="F137" s="19">
        <f t="shared" si="14"/>
        <v>664.12670125919476</v>
      </c>
      <c r="G137" s="19"/>
      <c r="H137" s="19">
        <f t="shared" si="15"/>
        <v>0</v>
      </c>
      <c r="I137" s="19"/>
      <c r="J137" s="19">
        <f t="shared" si="16"/>
        <v>0</v>
      </c>
      <c r="M137" s="19"/>
      <c r="N137" s="19">
        <f t="shared" si="17"/>
        <v>664.12670125919476</v>
      </c>
      <c r="O137" s="19"/>
      <c r="P137" s="19">
        <f t="shared" si="18"/>
        <v>54821.612528471698</v>
      </c>
      <c r="Q137" s="19"/>
    </row>
    <row r="138" spans="2:20">
      <c r="B138" s="98"/>
      <c r="C138">
        <v>123</v>
      </c>
      <c r="D138" s="19">
        <f t="shared" ref="D138:D147" si="24">D137</f>
        <v>2880.1902244418029</v>
      </c>
      <c r="E138" s="19">
        <f t="shared" si="19"/>
        <v>2216.0635231826082</v>
      </c>
      <c r="F138" s="19">
        <f t="shared" si="14"/>
        <v>664.12670125919476</v>
      </c>
      <c r="G138" s="19"/>
      <c r="H138" s="19">
        <f t="shared" si="15"/>
        <v>0</v>
      </c>
      <c r="I138" s="19"/>
      <c r="J138" s="19">
        <f t="shared" si="16"/>
        <v>0</v>
      </c>
      <c r="M138" s="19"/>
      <c r="N138" s="19">
        <f t="shared" si="17"/>
        <v>664.12670125919476</v>
      </c>
      <c r="O138" s="19"/>
      <c r="P138" s="19">
        <f t="shared" si="18"/>
        <v>55948.120389978649</v>
      </c>
      <c r="Q138" s="19"/>
    </row>
    <row r="139" spans="2:20">
      <c r="B139" s="98"/>
      <c r="C139">
        <v>124</v>
      </c>
      <c r="D139" s="19">
        <f t="shared" si="24"/>
        <v>2880.1902244418029</v>
      </c>
      <c r="E139" s="19">
        <f t="shared" si="19"/>
        <v>2216.0635231826082</v>
      </c>
      <c r="F139" s="19">
        <f t="shared" si="14"/>
        <v>664.12670125919476</v>
      </c>
      <c r="G139" s="19"/>
      <c r="H139" s="19">
        <f t="shared" si="15"/>
        <v>0</v>
      </c>
      <c r="I139" s="19"/>
      <c r="J139" s="19">
        <f t="shared" si="16"/>
        <v>0</v>
      </c>
      <c r="M139" s="19"/>
      <c r="N139" s="19">
        <f t="shared" si="17"/>
        <v>664.12670125919476</v>
      </c>
      <c r="O139" s="19"/>
      <c r="P139" s="19">
        <f t="shared" si="18"/>
        <v>57084.015816998151</v>
      </c>
      <c r="Q139" s="19"/>
    </row>
    <row r="140" spans="2:20">
      <c r="B140" s="98"/>
      <c r="C140">
        <v>125</v>
      </c>
      <c r="D140" s="19">
        <f t="shared" si="24"/>
        <v>2880.1902244418029</v>
      </c>
      <c r="E140" s="19">
        <f t="shared" si="19"/>
        <v>2216.0635231826082</v>
      </c>
      <c r="F140" s="19">
        <f t="shared" si="14"/>
        <v>664.12670125919476</v>
      </c>
      <c r="G140" s="19"/>
      <c r="H140" s="19">
        <f t="shared" si="15"/>
        <v>0</v>
      </c>
      <c r="I140" s="19"/>
      <c r="J140" s="19">
        <f t="shared" si="16"/>
        <v>0</v>
      </c>
      <c r="M140" s="19"/>
      <c r="N140" s="19">
        <f t="shared" si="17"/>
        <v>664.12670125919476</v>
      </c>
      <c r="O140" s="19"/>
      <c r="P140" s="19">
        <f t="shared" si="18"/>
        <v>58229.37703924282</v>
      </c>
      <c r="Q140" s="19"/>
    </row>
    <row r="141" spans="2:20">
      <c r="B141" s="98"/>
      <c r="C141">
        <v>126</v>
      </c>
      <c r="D141" s="19">
        <f t="shared" si="24"/>
        <v>2880.1902244418029</v>
      </c>
      <c r="E141" s="19">
        <f t="shared" si="19"/>
        <v>2216.0635231826082</v>
      </c>
      <c r="F141" s="19">
        <f t="shared" si="14"/>
        <v>664.12670125919476</v>
      </c>
      <c r="G141" s="19"/>
      <c r="H141" s="19">
        <f t="shared" si="15"/>
        <v>0</v>
      </c>
      <c r="I141" s="19"/>
      <c r="J141" s="19">
        <f t="shared" si="16"/>
        <v>0</v>
      </c>
      <c r="M141" s="19"/>
      <c r="N141" s="19">
        <f t="shared" si="17"/>
        <v>664.12670125919476</v>
      </c>
      <c r="O141" s="19"/>
      <c r="P141" s="19">
        <f t="shared" si="18"/>
        <v>59384.282938339529</v>
      </c>
      <c r="Q141" s="19"/>
    </row>
    <row r="142" spans="2:20">
      <c r="B142" s="98"/>
      <c r="C142">
        <v>127</v>
      </c>
      <c r="D142" s="19">
        <f t="shared" si="24"/>
        <v>2880.1902244418029</v>
      </c>
      <c r="E142" s="19">
        <f t="shared" si="19"/>
        <v>2216.0635231826082</v>
      </c>
      <c r="F142" s="19">
        <f t="shared" si="14"/>
        <v>664.12670125919476</v>
      </c>
      <c r="G142" s="19"/>
      <c r="H142" s="19">
        <f t="shared" si="15"/>
        <v>0</v>
      </c>
      <c r="I142" s="19"/>
      <c r="J142" s="19">
        <f t="shared" si="16"/>
        <v>0</v>
      </c>
      <c r="M142" s="19"/>
      <c r="N142" s="19">
        <f t="shared" si="17"/>
        <v>664.12670125919476</v>
      </c>
      <c r="O142" s="19"/>
      <c r="P142" s="19">
        <f t="shared" si="18"/>
        <v>60548.813053262042</v>
      </c>
      <c r="Q142" s="19"/>
    </row>
    <row r="143" spans="2:20">
      <c r="B143" s="98"/>
      <c r="C143">
        <v>128</v>
      </c>
      <c r="D143" s="19">
        <f t="shared" si="24"/>
        <v>2880.1902244418029</v>
      </c>
      <c r="E143" s="19">
        <f t="shared" si="19"/>
        <v>2216.0635231826082</v>
      </c>
      <c r="F143" s="19">
        <f t="shared" si="14"/>
        <v>664.12670125919476</v>
      </c>
      <c r="G143" s="19"/>
      <c r="H143" s="19">
        <f t="shared" si="15"/>
        <v>0</v>
      </c>
      <c r="I143" s="19"/>
      <c r="J143" s="19">
        <f t="shared" si="16"/>
        <v>0</v>
      </c>
      <c r="M143" s="19"/>
      <c r="N143" s="19">
        <f t="shared" si="17"/>
        <v>664.12670125919476</v>
      </c>
      <c r="O143" s="19"/>
      <c r="P143" s="19">
        <f t="shared" si="18"/>
        <v>61723.047585808912</v>
      </c>
      <c r="Q143" s="19"/>
    </row>
    <row r="144" spans="2:20">
      <c r="B144" s="98"/>
      <c r="C144">
        <v>129</v>
      </c>
      <c r="D144" s="19">
        <f t="shared" si="24"/>
        <v>2880.1902244418029</v>
      </c>
      <c r="E144" s="19">
        <f t="shared" si="19"/>
        <v>2216.0635231826082</v>
      </c>
      <c r="F144" s="19">
        <f t="shared" si="14"/>
        <v>664.12670125919476</v>
      </c>
      <c r="G144" s="19"/>
      <c r="H144" s="19">
        <f t="shared" si="15"/>
        <v>0</v>
      </c>
      <c r="I144" s="19"/>
      <c r="J144" s="19">
        <f t="shared" si="16"/>
        <v>0</v>
      </c>
      <c r="M144" s="19"/>
      <c r="N144" s="19">
        <f t="shared" si="17"/>
        <v>664.12670125919476</v>
      </c>
      <c r="O144" s="19"/>
      <c r="P144" s="19">
        <f t="shared" si="18"/>
        <v>62907.067406127004</v>
      </c>
      <c r="Q144" s="19"/>
    </row>
    <row r="145" spans="2:20">
      <c r="B145" s="98"/>
      <c r="C145">
        <v>130</v>
      </c>
      <c r="D145" s="19">
        <f t="shared" si="24"/>
        <v>2880.1902244418029</v>
      </c>
      <c r="E145" s="19">
        <f t="shared" si="19"/>
        <v>2216.0635231826082</v>
      </c>
      <c r="F145" s="19">
        <f t="shared" ref="F145:F208" si="25">D145-E145</f>
        <v>664.12670125919476</v>
      </c>
      <c r="G145" s="19"/>
      <c r="H145" s="19">
        <f t="shared" ref="H145:H208" si="26">IF(F145&lt;0,-F145,0)</f>
        <v>0</v>
      </c>
      <c r="I145" s="19"/>
      <c r="J145" s="19">
        <f t="shared" ref="J145:J208" si="27">(J144+H145)*(1+$E$12/12)</f>
        <v>0</v>
      </c>
      <c r="M145" s="19"/>
      <c r="N145" s="19">
        <f t="shared" ref="N145:N208" si="28">IF(F145&gt;0,F145,0)</f>
        <v>664.12670125919476</v>
      </c>
      <c r="O145" s="19"/>
      <c r="P145" s="19">
        <f t="shared" ref="P145:P208" si="29">(P144+N145)*(1+$E$12/12)</f>
        <v>64100.954058281081</v>
      </c>
      <c r="Q145" s="19"/>
    </row>
    <row r="146" spans="2:20">
      <c r="B146" s="98"/>
      <c r="C146">
        <v>131</v>
      </c>
      <c r="D146" s="19">
        <f t="shared" si="24"/>
        <v>2880.1902244418029</v>
      </c>
      <c r="E146" s="19">
        <f t="shared" ref="E146:E209" si="30">E145</f>
        <v>2216.0635231826082</v>
      </c>
      <c r="F146" s="19">
        <f t="shared" si="25"/>
        <v>664.12670125919476</v>
      </c>
      <c r="G146" s="19"/>
      <c r="H146" s="19">
        <f t="shared" si="26"/>
        <v>0</v>
      </c>
      <c r="I146" s="19"/>
      <c r="J146" s="19">
        <f t="shared" si="27"/>
        <v>0</v>
      </c>
      <c r="M146" s="19"/>
      <c r="N146" s="19">
        <f t="shared" si="28"/>
        <v>664.12670125919476</v>
      </c>
      <c r="O146" s="19"/>
      <c r="P146" s="19">
        <f t="shared" si="29"/>
        <v>65304.789765869777</v>
      </c>
      <c r="Q146" s="19"/>
    </row>
    <row r="147" spans="2:20">
      <c r="B147" s="98"/>
      <c r="C147">
        <v>132</v>
      </c>
      <c r="D147" s="19">
        <f t="shared" si="24"/>
        <v>2880.1902244418029</v>
      </c>
      <c r="E147" s="19">
        <f t="shared" si="30"/>
        <v>2216.0635231826082</v>
      </c>
      <c r="F147" s="19">
        <f t="shared" si="25"/>
        <v>664.12670125919476</v>
      </c>
      <c r="G147" s="19"/>
      <c r="H147" s="19">
        <f t="shared" si="26"/>
        <v>0</v>
      </c>
      <c r="I147" s="19"/>
      <c r="J147" s="19">
        <f t="shared" si="27"/>
        <v>0</v>
      </c>
      <c r="K147" s="19">
        <f>K135*(1+$E$12)</f>
        <v>228249.33648880024</v>
      </c>
      <c r="L147" s="57">
        <f>J147+K147</f>
        <v>228249.33648880024</v>
      </c>
      <c r="M147" s="19"/>
      <c r="N147" s="19">
        <f t="shared" si="28"/>
        <v>664.12670125919476</v>
      </c>
      <c r="O147" s="19"/>
      <c r="P147" s="19">
        <f t="shared" si="29"/>
        <v>66518.65743768838</v>
      </c>
      <c r="Q147" s="19">
        <f>Q135*(1+$E$7)</f>
        <v>553693.54828977829</v>
      </c>
      <c r="R147" s="19">
        <f>Q147-'Primary Residence Mortgage'!J148</f>
        <v>311827.75661576155</v>
      </c>
      <c r="S147" s="57">
        <f>P147+R147</f>
        <v>378346.41405344993</v>
      </c>
      <c r="T147" s="57"/>
    </row>
    <row r="148" spans="2:20">
      <c r="B148" s="98">
        <v>12</v>
      </c>
      <c r="C148">
        <v>133</v>
      </c>
      <c r="D148" s="19">
        <f>D147*(1+$E$10)</f>
        <v>2952.1949800528478</v>
      </c>
      <c r="E148" s="19">
        <f t="shared" si="30"/>
        <v>2216.0635231826082</v>
      </c>
      <c r="F148" s="19">
        <f t="shared" si="25"/>
        <v>736.13145687023962</v>
      </c>
      <c r="G148" s="19"/>
      <c r="H148" s="19">
        <f t="shared" si="26"/>
        <v>0</v>
      </c>
      <c r="I148" s="19"/>
      <c r="J148" s="19">
        <f t="shared" si="27"/>
        <v>0</v>
      </c>
      <c r="M148" s="19"/>
      <c r="N148" s="19">
        <f t="shared" si="28"/>
        <v>736.13145687023962</v>
      </c>
      <c r="O148" s="19"/>
      <c r="P148" s="19">
        <f t="shared" si="29"/>
        <v>67815.245468679932</v>
      </c>
      <c r="Q148" s="19"/>
    </row>
    <row r="149" spans="2:20">
      <c r="B149" s="98"/>
      <c r="C149">
        <v>134</v>
      </c>
      <c r="D149" s="19">
        <f>D148</f>
        <v>2952.1949800528478</v>
      </c>
      <c r="E149" s="19">
        <f t="shared" si="30"/>
        <v>2216.0635231826082</v>
      </c>
      <c r="F149" s="19">
        <f t="shared" si="25"/>
        <v>736.13145687023962</v>
      </c>
      <c r="G149" s="19"/>
      <c r="H149" s="19">
        <f t="shared" si="26"/>
        <v>0</v>
      </c>
      <c r="I149" s="19"/>
      <c r="J149" s="19">
        <f t="shared" si="27"/>
        <v>0</v>
      </c>
      <c r="M149" s="19"/>
      <c r="N149" s="19">
        <f t="shared" si="28"/>
        <v>736.13145687023962</v>
      </c>
      <c r="O149" s="19"/>
      <c r="P149" s="19">
        <f t="shared" si="29"/>
        <v>69122.638399929754</v>
      </c>
      <c r="Q149" s="19"/>
    </row>
    <row r="150" spans="2:20">
      <c r="B150" s="98"/>
      <c r="C150">
        <v>135</v>
      </c>
      <c r="D150" s="19">
        <f t="shared" ref="D150:D159" si="31">D149</f>
        <v>2952.1949800528478</v>
      </c>
      <c r="E150" s="19">
        <f t="shared" si="30"/>
        <v>2216.0635231826082</v>
      </c>
      <c r="F150" s="19">
        <f t="shared" si="25"/>
        <v>736.13145687023962</v>
      </c>
      <c r="G150" s="19"/>
      <c r="H150" s="19">
        <f t="shared" si="26"/>
        <v>0</v>
      </c>
      <c r="I150" s="19"/>
      <c r="J150" s="19">
        <f t="shared" si="27"/>
        <v>0</v>
      </c>
      <c r="M150" s="19"/>
      <c r="N150" s="19">
        <f t="shared" si="28"/>
        <v>736.13145687023962</v>
      </c>
      <c r="O150" s="19"/>
      <c r="P150" s="19">
        <f t="shared" si="29"/>
        <v>70440.926272273326</v>
      </c>
      <c r="Q150" s="19"/>
    </row>
    <row r="151" spans="2:20">
      <c r="B151" s="98"/>
      <c r="C151">
        <v>136</v>
      </c>
      <c r="D151" s="19">
        <f t="shared" si="31"/>
        <v>2952.1949800528478</v>
      </c>
      <c r="E151" s="19">
        <f t="shared" si="30"/>
        <v>2216.0635231826082</v>
      </c>
      <c r="F151" s="19">
        <f t="shared" si="25"/>
        <v>736.13145687023962</v>
      </c>
      <c r="G151" s="19"/>
      <c r="H151" s="19">
        <f t="shared" si="26"/>
        <v>0</v>
      </c>
      <c r="I151" s="19"/>
      <c r="J151" s="19">
        <f t="shared" si="27"/>
        <v>0</v>
      </c>
      <c r="M151" s="19"/>
      <c r="N151" s="19">
        <f t="shared" si="28"/>
        <v>736.13145687023962</v>
      </c>
      <c r="O151" s="19"/>
      <c r="P151" s="19">
        <f t="shared" si="29"/>
        <v>71770.199876886429</v>
      </c>
      <c r="Q151" s="19"/>
    </row>
    <row r="152" spans="2:20">
      <c r="B152" s="98"/>
      <c r="C152">
        <v>137</v>
      </c>
      <c r="D152" s="19">
        <f t="shared" si="31"/>
        <v>2952.1949800528478</v>
      </c>
      <c r="E152" s="19">
        <f t="shared" si="30"/>
        <v>2216.0635231826082</v>
      </c>
      <c r="F152" s="19">
        <f t="shared" si="25"/>
        <v>736.13145687023962</v>
      </c>
      <c r="G152" s="19"/>
      <c r="H152" s="19">
        <f t="shared" si="26"/>
        <v>0</v>
      </c>
      <c r="I152" s="19"/>
      <c r="J152" s="19">
        <f t="shared" si="27"/>
        <v>0</v>
      </c>
      <c r="M152" s="19"/>
      <c r="N152" s="19">
        <f t="shared" si="28"/>
        <v>736.13145687023962</v>
      </c>
      <c r="O152" s="19"/>
      <c r="P152" s="19">
        <f t="shared" si="29"/>
        <v>73110.550761537976</v>
      </c>
      <c r="Q152" s="19"/>
    </row>
    <row r="153" spans="2:20">
      <c r="B153" s="98"/>
      <c r="C153">
        <v>138</v>
      </c>
      <c r="D153" s="19">
        <f t="shared" si="31"/>
        <v>2952.1949800528478</v>
      </c>
      <c r="E153" s="19">
        <f t="shared" si="30"/>
        <v>2216.0635231826082</v>
      </c>
      <c r="F153" s="19">
        <f t="shared" si="25"/>
        <v>736.13145687023962</v>
      </c>
      <c r="G153" s="19"/>
      <c r="H153" s="19">
        <f t="shared" si="26"/>
        <v>0</v>
      </c>
      <c r="I153" s="19"/>
      <c r="J153" s="19">
        <f t="shared" si="27"/>
        <v>0</v>
      </c>
      <c r="M153" s="19"/>
      <c r="N153" s="19">
        <f t="shared" si="28"/>
        <v>736.13145687023962</v>
      </c>
      <c r="O153" s="19"/>
      <c r="P153" s="19">
        <f t="shared" si="29"/>
        <v>74462.071236894946</v>
      </c>
      <c r="Q153" s="19"/>
    </row>
    <row r="154" spans="2:20">
      <c r="B154" s="98"/>
      <c r="C154">
        <v>139</v>
      </c>
      <c r="D154" s="19">
        <f t="shared" si="31"/>
        <v>2952.1949800528478</v>
      </c>
      <c r="E154" s="19">
        <f t="shared" si="30"/>
        <v>2216.0635231826082</v>
      </c>
      <c r="F154" s="19">
        <f t="shared" si="25"/>
        <v>736.13145687023962</v>
      </c>
      <c r="G154" s="19"/>
      <c r="H154" s="19">
        <f t="shared" si="26"/>
        <v>0</v>
      </c>
      <c r="I154" s="19"/>
      <c r="J154" s="19">
        <f t="shared" si="27"/>
        <v>0</v>
      </c>
      <c r="M154" s="19"/>
      <c r="N154" s="19">
        <f t="shared" si="28"/>
        <v>736.13145687023962</v>
      </c>
      <c r="O154" s="19"/>
      <c r="P154" s="19">
        <f t="shared" si="29"/>
        <v>75824.854382879887</v>
      </c>
      <c r="Q154" s="19"/>
    </row>
    <row r="155" spans="2:20">
      <c r="B155" s="98"/>
      <c r="C155">
        <v>140</v>
      </c>
      <c r="D155" s="19">
        <f t="shared" si="31"/>
        <v>2952.1949800528478</v>
      </c>
      <c r="E155" s="19">
        <f t="shared" si="30"/>
        <v>2216.0635231826082</v>
      </c>
      <c r="F155" s="19">
        <f t="shared" si="25"/>
        <v>736.13145687023962</v>
      </c>
      <c r="G155" s="19"/>
      <c r="H155" s="19">
        <f t="shared" si="26"/>
        <v>0</v>
      </c>
      <c r="I155" s="19"/>
      <c r="J155" s="19">
        <f t="shared" si="27"/>
        <v>0</v>
      </c>
      <c r="M155" s="19"/>
      <c r="N155" s="19">
        <f t="shared" si="28"/>
        <v>736.13145687023962</v>
      </c>
      <c r="O155" s="19"/>
      <c r="P155" s="19">
        <f t="shared" si="29"/>
        <v>77198.994055081377</v>
      </c>
      <c r="Q155" s="19"/>
    </row>
    <row r="156" spans="2:20">
      <c r="B156" s="98"/>
      <c r="C156">
        <v>141</v>
      </c>
      <c r="D156" s="19">
        <f t="shared" si="31"/>
        <v>2952.1949800528478</v>
      </c>
      <c r="E156" s="19">
        <f t="shared" si="30"/>
        <v>2216.0635231826082</v>
      </c>
      <c r="F156" s="19">
        <f t="shared" si="25"/>
        <v>736.13145687023962</v>
      </c>
      <c r="G156" s="19"/>
      <c r="H156" s="19">
        <f t="shared" si="26"/>
        <v>0</v>
      </c>
      <c r="I156" s="19"/>
      <c r="J156" s="19">
        <f t="shared" si="27"/>
        <v>0</v>
      </c>
      <c r="M156" s="19"/>
      <c r="N156" s="19">
        <f t="shared" si="28"/>
        <v>736.13145687023962</v>
      </c>
      <c r="O156" s="19"/>
      <c r="P156" s="19">
        <f t="shared" si="29"/>
        <v>78584.584891217877</v>
      </c>
      <c r="Q156" s="19"/>
    </row>
    <row r="157" spans="2:20">
      <c r="B157" s="98"/>
      <c r="C157">
        <v>142</v>
      </c>
      <c r="D157" s="19">
        <f t="shared" si="31"/>
        <v>2952.1949800528478</v>
      </c>
      <c r="E157" s="19">
        <f t="shared" si="30"/>
        <v>2216.0635231826082</v>
      </c>
      <c r="F157" s="19">
        <f t="shared" si="25"/>
        <v>736.13145687023962</v>
      </c>
      <c r="G157" s="19"/>
      <c r="H157" s="19">
        <f t="shared" si="26"/>
        <v>0</v>
      </c>
      <c r="I157" s="19"/>
      <c r="J157" s="19">
        <f t="shared" si="27"/>
        <v>0</v>
      </c>
      <c r="M157" s="19"/>
      <c r="N157" s="19">
        <f t="shared" si="28"/>
        <v>736.13145687023962</v>
      </c>
      <c r="O157" s="19"/>
      <c r="P157" s="19">
        <f t="shared" si="29"/>
        <v>79981.722317655513</v>
      </c>
      <c r="Q157" s="19"/>
    </row>
    <row r="158" spans="2:20">
      <c r="B158" s="98"/>
      <c r="C158">
        <v>143</v>
      </c>
      <c r="D158" s="19">
        <f t="shared" si="31"/>
        <v>2952.1949800528478</v>
      </c>
      <c r="E158" s="19">
        <f t="shared" si="30"/>
        <v>2216.0635231826082</v>
      </c>
      <c r="F158" s="19">
        <f t="shared" si="25"/>
        <v>736.13145687023962</v>
      </c>
      <c r="G158" s="19"/>
      <c r="H158" s="19">
        <f t="shared" si="26"/>
        <v>0</v>
      </c>
      <c r="I158" s="19"/>
      <c r="J158" s="19">
        <f t="shared" si="27"/>
        <v>0</v>
      </c>
      <c r="M158" s="19"/>
      <c r="N158" s="19">
        <f t="shared" si="28"/>
        <v>736.13145687023962</v>
      </c>
      <c r="O158" s="19"/>
      <c r="P158" s="19">
        <f t="shared" si="29"/>
        <v>81390.502555980129</v>
      </c>
      <c r="Q158" s="19"/>
    </row>
    <row r="159" spans="2:20">
      <c r="B159" s="98"/>
      <c r="C159">
        <v>144</v>
      </c>
      <c r="D159" s="19">
        <f t="shared" si="31"/>
        <v>2952.1949800528478</v>
      </c>
      <c r="E159" s="19">
        <f t="shared" si="30"/>
        <v>2216.0635231826082</v>
      </c>
      <c r="F159" s="19">
        <f t="shared" si="25"/>
        <v>736.13145687023962</v>
      </c>
      <c r="G159" s="19"/>
      <c r="H159" s="19">
        <f t="shared" si="26"/>
        <v>0</v>
      </c>
      <c r="I159" s="19"/>
      <c r="J159" s="19">
        <f t="shared" si="27"/>
        <v>0</v>
      </c>
      <c r="K159" s="19">
        <f>K147*(1+$E$12)</f>
        <v>251074.27013768029</v>
      </c>
      <c r="L159" s="57">
        <f>J159+K159</f>
        <v>251074.27013768029</v>
      </c>
      <c r="M159" s="19"/>
      <c r="N159" s="19">
        <f t="shared" si="28"/>
        <v>736.13145687023962</v>
      </c>
      <c r="O159" s="19"/>
      <c r="P159" s="19">
        <f t="shared" si="29"/>
        <v>82811.022629624116</v>
      </c>
      <c r="Q159" s="19">
        <f>Q147*(1+$E$7)</f>
        <v>570304.35473847168</v>
      </c>
      <c r="R159" s="19">
        <f>Q159-'Primary Residence Mortgage'!J160</f>
        <v>337293.59392150975</v>
      </c>
      <c r="S159" s="57">
        <f>P159+R159</f>
        <v>420104.61655113386</v>
      </c>
      <c r="T159" s="57"/>
    </row>
    <row r="160" spans="2:20">
      <c r="B160" s="98">
        <v>13</v>
      </c>
      <c r="C160">
        <v>145</v>
      </c>
      <c r="D160" s="19">
        <f>D159*(1+$E$10)</f>
        <v>3025.9998545541689</v>
      </c>
      <c r="E160" s="19">
        <f t="shared" si="30"/>
        <v>2216.0635231826082</v>
      </c>
      <c r="F160" s="19">
        <f t="shared" si="25"/>
        <v>809.93633137156075</v>
      </c>
      <c r="G160" s="19"/>
      <c r="H160" s="19">
        <f t="shared" si="26"/>
        <v>0</v>
      </c>
      <c r="I160" s="19"/>
      <c r="J160" s="19">
        <f t="shared" si="27"/>
        <v>0</v>
      </c>
      <c r="M160" s="19"/>
      <c r="N160" s="19">
        <f t="shared" si="28"/>
        <v>809.93633137156075</v>
      </c>
      <c r="O160" s="19"/>
      <c r="P160" s="19">
        <f t="shared" si="29"/>
        <v>84317.80028567063</v>
      </c>
      <c r="Q160" s="19"/>
    </row>
    <row r="161" spans="2:20">
      <c r="B161" s="98"/>
      <c r="C161">
        <v>146</v>
      </c>
      <c r="D161" s="19">
        <f>D160</f>
        <v>3025.9998545541689</v>
      </c>
      <c r="E161" s="19">
        <f t="shared" si="30"/>
        <v>2216.0635231826082</v>
      </c>
      <c r="F161" s="19">
        <f t="shared" si="25"/>
        <v>809.93633137156075</v>
      </c>
      <c r="G161" s="19"/>
      <c r="H161" s="19">
        <f t="shared" si="26"/>
        <v>0</v>
      </c>
      <c r="I161" s="19"/>
      <c r="J161" s="19">
        <f t="shared" si="27"/>
        <v>0</v>
      </c>
      <c r="M161" s="19"/>
      <c r="N161" s="19">
        <f t="shared" si="28"/>
        <v>809.93633137156075</v>
      </c>
      <c r="O161" s="19"/>
      <c r="P161" s="19">
        <f t="shared" si="29"/>
        <v>85837.134422184201</v>
      </c>
      <c r="Q161" s="19"/>
    </row>
    <row r="162" spans="2:20">
      <c r="B162" s="98"/>
      <c r="C162">
        <v>147</v>
      </c>
      <c r="D162" s="19">
        <f t="shared" ref="D162:D171" si="32">D161</f>
        <v>3025.9998545541689</v>
      </c>
      <c r="E162" s="19">
        <f t="shared" si="30"/>
        <v>2216.0635231826082</v>
      </c>
      <c r="F162" s="19">
        <f t="shared" si="25"/>
        <v>809.93633137156075</v>
      </c>
      <c r="G162" s="19"/>
      <c r="H162" s="19">
        <f t="shared" si="26"/>
        <v>0</v>
      </c>
      <c r="I162" s="19"/>
      <c r="J162" s="19">
        <f t="shared" si="27"/>
        <v>0</v>
      </c>
      <c r="M162" s="19"/>
      <c r="N162" s="19">
        <f t="shared" si="28"/>
        <v>809.93633137156075</v>
      </c>
      <c r="O162" s="19"/>
      <c r="P162" s="19">
        <f t="shared" si="29"/>
        <v>87369.129676502052</v>
      </c>
      <c r="Q162" s="19"/>
    </row>
    <row r="163" spans="2:20">
      <c r="B163" s="98"/>
      <c r="C163">
        <v>148</v>
      </c>
      <c r="D163" s="19">
        <f t="shared" si="32"/>
        <v>3025.9998545541689</v>
      </c>
      <c r="E163" s="19">
        <f t="shared" si="30"/>
        <v>2216.0635231826082</v>
      </c>
      <c r="F163" s="19">
        <f t="shared" si="25"/>
        <v>809.93633137156075</v>
      </c>
      <c r="G163" s="19"/>
      <c r="H163" s="19">
        <f t="shared" si="26"/>
        <v>0</v>
      </c>
      <c r="I163" s="19"/>
      <c r="J163" s="19">
        <f t="shared" si="27"/>
        <v>0</v>
      </c>
      <c r="M163" s="19"/>
      <c r="N163" s="19">
        <f t="shared" si="28"/>
        <v>809.93633137156075</v>
      </c>
      <c r="O163" s="19"/>
      <c r="P163" s="19">
        <f t="shared" si="29"/>
        <v>88913.89155793922</v>
      </c>
      <c r="Q163" s="19"/>
    </row>
    <row r="164" spans="2:20">
      <c r="B164" s="98"/>
      <c r="C164">
        <v>149</v>
      </c>
      <c r="D164" s="19">
        <f t="shared" si="32"/>
        <v>3025.9998545541689</v>
      </c>
      <c r="E164" s="19">
        <f t="shared" si="30"/>
        <v>2216.0635231826082</v>
      </c>
      <c r="F164" s="19">
        <f t="shared" si="25"/>
        <v>809.93633137156075</v>
      </c>
      <c r="G164" s="19"/>
      <c r="H164" s="19">
        <f t="shared" si="26"/>
        <v>0</v>
      </c>
      <c r="I164" s="19"/>
      <c r="J164" s="19">
        <f t="shared" si="27"/>
        <v>0</v>
      </c>
      <c r="M164" s="19"/>
      <c r="N164" s="19">
        <f t="shared" si="28"/>
        <v>809.93633137156075</v>
      </c>
      <c r="O164" s="19"/>
      <c r="P164" s="19">
        <f t="shared" si="29"/>
        <v>90471.526455055035</v>
      </c>
      <c r="Q164" s="19"/>
    </row>
    <row r="165" spans="2:20">
      <c r="B165" s="98"/>
      <c r="C165">
        <v>150</v>
      </c>
      <c r="D165" s="19">
        <f t="shared" si="32"/>
        <v>3025.9998545541689</v>
      </c>
      <c r="E165" s="19">
        <f t="shared" si="30"/>
        <v>2216.0635231826082</v>
      </c>
      <c r="F165" s="19">
        <f t="shared" si="25"/>
        <v>809.93633137156075</v>
      </c>
      <c r="G165" s="19"/>
      <c r="H165" s="19">
        <f t="shared" si="26"/>
        <v>0</v>
      </c>
      <c r="I165" s="19"/>
      <c r="J165" s="19">
        <f t="shared" si="27"/>
        <v>0</v>
      </c>
      <c r="M165" s="19"/>
      <c r="N165" s="19">
        <f t="shared" si="28"/>
        <v>809.93633137156075</v>
      </c>
      <c r="O165" s="19"/>
      <c r="P165" s="19">
        <f t="shared" si="29"/>
        <v>92042.141642980147</v>
      </c>
      <c r="Q165" s="19"/>
    </row>
    <row r="166" spans="2:20">
      <c r="B166" s="98"/>
      <c r="C166">
        <v>151</v>
      </c>
      <c r="D166" s="19">
        <f t="shared" si="32"/>
        <v>3025.9998545541689</v>
      </c>
      <c r="E166" s="19">
        <f t="shared" si="30"/>
        <v>2216.0635231826082</v>
      </c>
      <c r="F166" s="19">
        <f t="shared" si="25"/>
        <v>809.93633137156075</v>
      </c>
      <c r="G166" s="19"/>
      <c r="H166" s="19">
        <f t="shared" si="26"/>
        <v>0</v>
      </c>
      <c r="I166" s="19"/>
      <c r="J166" s="19">
        <f t="shared" si="27"/>
        <v>0</v>
      </c>
      <c r="M166" s="19"/>
      <c r="N166" s="19">
        <f t="shared" si="28"/>
        <v>809.93633137156075</v>
      </c>
      <c r="O166" s="19"/>
      <c r="P166" s="19">
        <f t="shared" si="29"/>
        <v>93625.845290804631</v>
      </c>
      <c r="Q166" s="19"/>
    </row>
    <row r="167" spans="2:20">
      <c r="B167" s="98"/>
      <c r="C167">
        <v>152</v>
      </c>
      <c r="D167" s="19">
        <f t="shared" si="32"/>
        <v>3025.9998545541689</v>
      </c>
      <c r="E167" s="19">
        <f t="shared" si="30"/>
        <v>2216.0635231826082</v>
      </c>
      <c r="F167" s="19">
        <f t="shared" si="25"/>
        <v>809.93633137156075</v>
      </c>
      <c r="G167" s="19"/>
      <c r="H167" s="19">
        <f t="shared" si="26"/>
        <v>0</v>
      </c>
      <c r="I167" s="19"/>
      <c r="J167" s="19">
        <f t="shared" si="27"/>
        <v>0</v>
      </c>
      <c r="M167" s="19"/>
      <c r="N167" s="19">
        <f t="shared" si="28"/>
        <v>809.93633137156075</v>
      </c>
      <c r="O167" s="19"/>
      <c r="P167" s="19">
        <f t="shared" si="29"/>
        <v>95222.746469027654</v>
      </c>
      <c r="Q167" s="19"/>
    </row>
    <row r="168" spans="2:20">
      <c r="B168" s="98"/>
      <c r="C168">
        <v>153</v>
      </c>
      <c r="D168" s="19">
        <f t="shared" si="32"/>
        <v>3025.9998545541689</v>
      </c>
      <c r="E168" s="19">
        <f t="shared" si="30"/>
        <v>2216.0635231826082</v>
      </c>
      <c r="F168" s="19">
        <f t="shared" si="25"/>
        <v>809.93633137156075</v>
      </c>
      <c r="G168" s="19"/>
      <c r="H168" s="19">
        <f t="shared" si="26"/>
        <v>0</v>
      </c>
      <c r="I168" s="19"/>
      <c r="J168" s="19">
        <f t="shared" si="27"/>
        <v>0</v>
      </c>
      <c r="M168" s="19"/>
      <c r="N168" s="19">
        <f t="shared" si="28"/>
        <v>809.93633137156075</v>
      </c>
      <c r="O168" s="19"/>
      <c r="P168" s="19">
        <f t="shared" si="29"/>
        <v>96832.955157069198</v>
      </c>
      <c r="Q168" s="19"/>
    </row>
    <row r="169" spans="2:20">
      <c r="B169" s="98"/>
      <c r="C169">
        <v>154</v>
      </c>
      <c r="D169" s="19">
        <f t="shared" si="32"/>
        <v>3025.9998545541689</v>
      </c>
      <c r="E169" s="19">
        <f t="shared" si="30"/>
        <v>2216.0635231826082</v>
      </c>
      <c r="F169" s="19">
        <f t="shared" si="25"/>
        <v>809.93633137156075</v>
      </c>
      <c r="G169" s="19"/>
      <c r="H169" s="19">
        <f t="shared" si="26"/>
        <v>0</v>
      </c>
      <c r="I169" s="19"/>
      <c r="J169" s="19">
        <f t="shared" si="27"/>
        <v>0</v>
      </c>
      <c r="M169" s="19"/>
      <c r="N169" s="19">
        <f t="shared" si="28"/>
        <v>809.93633137156075</v>
      </c>
      <c r="O169" s="19"/>
      <c r="P169" s="19">
        <f t="shared" si="29"/>
        <v>98456.582250844425</v>
      </c>
      <c r="Q169" s="19"/>
    </row>
    <row r="170" spans="2:20">
      <c r="B170" s="98"/>
      <c r="C170">
        <v>155</v>
      </c>
      <c r="D170" s="19">
        <f t="shared" si="32"/>
        <v>3025.9998545541689</v>
      </c>
      <c r="E170" s="19">
        <f t="shared" si="30"/>
        <v>2216.0635231826082</v>
      </c>
      <c r="F170" s="19">
        <f t="shared" si="25"/>
        <v>809.93633137156075</v>
      </c>
      <c r="G170" s="19"/>
      <c r="H170" s="19">
        <f t="shared" si="26"/>
        <v>0</v>
      </c>
      <c r="I170" s="19"/>
      <c r="J170" s="19">
        <f t="shared" si="27"/>
        <v>0</v>
      </c>
      <c r="M170" s="19"/>
      <c r="N170" s="19">
        <f t="shared" si="28"/>
        <v>809.93633137156075</v>
      </c>
      <c r="O170" s="19"/>
      <c r="P170" s="19">
        <f t="shared" si="29"/>
        <v>100093.73957040111</v>
      </c>
      <c r="Q170" s="19"/>
    </row>
    <row r="171" spans="2:20">
      <c r="B171" s="98"/>
      <c r="C171">
        <v>156</v>
      </c>
      <c r="D171" s="19">
        <f t="shared" si="32"/>
        <v>3025.9998545541689</v>
      </c>
      <c r="E171" s="19">
        <f t="shared" si="30"/>
        <v>2216.0635231826082</v>
      </c>
      <c r="F171" s="19">
        <f t="shared" si="25"/>
        <v>809.93633137156075</v>
      </c>
      <c r="G171" s="19"/>
      <c r="H171" s="19">
        <f t="shared" si="26"/>
        <v>0</v>
      </c>
      <c r="I171" s="19"/>
      <c r="J171" s="19">
        <f t="shared" si="27"/>
        <v>0</v>
      </c>
      <c r="K171" s="19">
        <f>K159*(1+$E$12)</f>
        <v>276181.69715144834</v>
      </c>
      <c r="L171" s="57">
        <f>J171+K171</f>
        <v>276181.69715144834</v>
      </c>
      <c r="M171" s="19"/>
      <c r="N171" s="19">
        <f t="shared" si="28"/>
        <v>809.93633137156075</v>
      </c>
      <c r="O171" s="19"/>
      <c r="P171" s="19">
        <f t="shared" si="29"/>
        <v>101744.53986762077</v>
      </c>
      <c r="Q171" s="19">
        <f>Q159*(1+$E$7)</f>
        <v>587413.48538062582</v>
      </c>
      <c r="R171" s="19">
        <f>Q171-'Primary Residence Mortgage'!J172</f>
        <v>363600.16945228924</v>
      </c>
      <c r="S171" s="57">
        <f>P171+R171</f>
        <v>465344.70931991003</v>
      </c>
      <c r="T171" s="57"/>
    </row>
    <row r="172" spans="2:20">
      <c r="B172" s="98">
        <v>14</v>
      </c>
      <c r="C172">
        <v>157</v>
      </c>
      <c r="D172" s="19">
        <f>D171*(1+$E$10)</f>
        <v>3101.6498509180228</v>
      </c>
      <c r="E172" s="19">
        <f t="shared" si="30"/>
        <v>2216.0635231826082</v>
      </c>
      <c r="F172" s="19">
        <f t="shared" si="25"/>
        <v>885.58632773541467</v>
      </c>
      <c r="G172" s="19"/>
      <c r="H172" s="19">
        <f t="shared" si="26"/>
        <v>0</v>
      </c>
      <c r="I172" s="19"/>
      <c r="J172" s="19">
        <f t="shared" si="27"/>
        <v>0</v>
      </c>
      <c r="M172" s="19"/>
      <c r="N172" s="19">
        <f t="shared" si="28"/>
        <v>885.58632773541467</v>
      </c>
      <c r="O172" s="19"/>
      <c r="P172" s="19">
        <f t="shared" si="29"/>
        <v>103485.37724698415</v>
      </c>
      <c r="Q172" s="19"/>
    </row>
    <row r="173" spans="2:20">
      <c r="B173" s="98"/>
      <c r="C173">
        <v>158</v>
      </c>
      <c r="D173" s="19">
        <f>D172</f>
        <v>3101.6498509180228</v>
      </c>
      <c r="E173" s="19">
        <f t="shared" si="30"/>
        <v>2216.0635231826082</v>
      </c>
      <c r="F173" s="19">
        <f t="shared" si="25"/>
        <v>885.58632773541467</v>
      </c>
      <c r="G173" s="19"/>
      <c r="H173" s="19">
        <f t="shared" si="26"/>
        <v>0</v>
      </c>
      <c r="I173" s="19"/>
      <c r="J173" s="19">
        <f t="shared" si="27"/>
        <v>0</v>
      </c>
      <c r="M173" s="19"/>
      <c r="N173" s="19">
        <f t="shared" si="28"/>
        <v>885.58632773541467</v>
      </c>
      <c r="O173" s="19"/>
      <c r="P173" s="19">
        <f t="shared" si="29"/>
        <v>105240.72160450889</v>
      </c>
      <c r="Q173" s="19"/>
    </row>
    <row r="174" spans="2:20">
      <c r="B174" s="98"/>
      <c r="C174">
        <v>159</v>
      </c>
      <c r="D174" s="19">
        <f t="shared" ref="D174:D183" si="33">D173</f>
        <v>3101.6498509180228</v>
      </c>
      <c r="E174" s="19">
        <f t="shared" si="30"/>
        <v>2216.0635231826082</v>
      </c>
      <c r="F174" s="19">
        <f t="shared" si="25"/>
        <v>885.58632773541467</v>
      </c>
      <c r="G174" s="19"/>
      <c r="H174" s="19">
        <f t="shared" si="26"/>
        <v>0</v>
      </c>
      <c r="I174" s="19"/>
      <c r="J174" s="19">
        <f t="shared" si="27"/>
        <v>0</v>
      </c>
      <c r="M174" s="19"/>
      <c r="N174" s="19">
        <f t="shared" si="28"/>
        <v>885.58632773541467</v>
      </c>
      <c r="O174" s="19"/>
      <c r="P174" s="19">
        <f t="shared" si="29"/>
        <v>107010.69383167966</v>
      </c>
      <c r="Q174" s="19"/>
    </row>
    <row r="175" spans="2:20">
      <c r="B175" s="98"/>
      <c r="C175">
        <v>160</v>
      </c>
      <c r="D175" s="19">
        <f t="shared" si="33"/>
        <v>3101.6498509180228</v>
      </c>
      <c r="E175" s="19">
        <f t="shared" si="30"/>
        <v>2216.0635231826082</v>
      </c>
      <c r="F175" s="19">
        <f t="shared" si="25"/>
        <v>885.58632773541467</v>
      </c>
      <c r="G175" s="19"/>
      <c r="H175" s="19">
        <f t="shared" si="26"/>
        <v>0</v>
      </c>
      <c r="I175" s="19"/>
      <c r="J175" s="19">
        <f t="shared" si="27"/>
        <v>0</v>
      </c>
      <c r="M175" s="19"/>
      <c r="N175" s="19">
        <f t="shared" si="28"/>
        <v>885.58632773541467</v>
      </c>
      <c r="O175" s="19"/>
      <c r="P175" s="19">
        <f t="shared" si="29"/>
        <v>108795.41582741019</v>
      </c>
      <c r="Q175" s="19"/>
    </row>
    <row r="176" spans="2:20">
      <c r="B176" s="98"/>
      <c r="C176">
        <v>161</v>
      </c>
      <c r="D176" s="19">
        <f t="shared" si="33"/>
        <v>3101.6498509180228</v>
      </c>
      <c r="E176" s="19">
        <f t="shared" si="30"/>
        <v>2216.0635231826082</v>
      </c>
      <c r="F176" s="19">
        <f t="shared" si="25"/>
        <v>885.58632773541467</v>
      </c>
      <c r="G176" s="19"/>
      <c r="H176" s="19">
        <f t="shared" si="26"/>
        <v>0</v>
      </c>
      <c r="I176" s="19"/>
      <c r="J176" s="19">
        <f t="shared" si="27"/>
        <v>0</v>
      </c>
      <c r="M176" s="19"/>
      <c r="N176" s="19">
        <f t="shared" si="28"/>
        <v>885.58632773541467</v>
      </c>
      <c r="O176" s="19"/>
      <c r="P176" s="19">
        <f t="shared" si="29"/>
        <v>110595.01050643848</v>
      </c>
      <c r="Q176" s="19"/>
    </row>
    <row r="177" spans="2:20">
      <c r="B177" s="98"/>
      <c r="C177">
        <v>162</v>
      </c>
      <c r="D177" s="19">
        <f t="shared" si="33"/>
        <v>3101.6498509180228</v>
      </c>
      <c r="E177" s="19">
        <f t="shared" si="30"/>
        <v>2216.0635231826082</v>
      </c>
      <c r="F177" s="19">
        <f t="shared" si="25"/>
        <v>885.58632773541467</v>
      </c>
      <c r="G177" s="19"/>
      <c r="H177" s="19">
        <f t="shared" si="26"/>
        <v>0</v>
      </c>
      <c r="I177" s="19"/>
      <c r="J177" s="19">
        <f t="shared" si="27"/>
        <v>0</v>
      </c>
      <c r="M177" s="19"/>
      <c r="N177" s="19">
        <f t="shared" si="28"/>
        <v>885.58632773541467</v>
      </c>
      <c r="O177" s="19"/>
      <c r="P177" s="19">
        <f t="shared" si="29"/>
        <v>112409.601807792</v>
      </c>
      <c r="Q177" s="19"/>
    </row>
    <row r="178" spans="2:20">
      <c r="B178" s="98"/>
      <c r="C178">
        <v>163</v>
      </c>
      <c r="D178" s="19">
        <f t="shared" si="33"/>
        <v>3101.6498509180228</v>
      </c>
      <c r="E178" s="19">
        <f t="shared" si="30"/>
        <v>2216.0635231826082</v>
      </c>
      <c r="F178" s="19">
        <f t="shared" si="25"/>
        <v>885.58632773541467</v>
      </c>
      <c r="G178" s="19"/>
      <c r="H178" s="19">
        <f t="shared" si="26"/>
        <v>0</v>
      </c>
      <c r="I178" s="19"/>
      <c r="J178" s="19">
        <f t="shared" si="27"/>
        <v>0</v>
      </c>
      <c r="M178" s="19"/>
      <c r="N178" s="19">
        <f t="shared" si="28"/>
        <v>885.58632773541467</v>
      </c>
      <c r="O178" s="19"/>
      <c r="P178" s="19">
        <f t="shared" si="29"/>
        <v>114239.31470332349</v>
      </c>
      <c r="Q178" s="19"/>
    </row>
    <row r="179" spans="2:20">
      <c r="B179" s="98"/>
      <c r="C179">
        <v>164</v>
      </c>
      <c r="D179" s="19">
        <f t="shared" si="33"/>
        <v>3101.6498509180228</v>
      </c>
      <c r="E179" s="19">
        <f t="shared" si="30"/>
        <v>2216.0635231826082</v>
      </c>
      <c r="F179" s="19">
        <f t="shared" si="25"/>
        <v>885.58632773541467</v>
      </c>
      <c r="G179" s="19"/>
      <c r="H179" s="19">
        <f t="shared" si="26"/>
        <v>0</v>
      </c>
      <c r="I179" s="19"/>
      <c r="J179" s="19">
        <f t="shared" si="27"/>
        <v>0</v>
      </c>
      <c r="M179" s="19"/>
      <c r="N179" s="19">
        <f t="shared" si="28"/>
        <v>885.58632773541467</v>
      </c>
      <c r="O179" s="19"/>
      <c r="P179" s="19">
        <f t="shared" si="29"/>
        <v>116084.27520631772</v>
      </c>
      <c r="Q179" s="19"/>
    </row>
    <row r="180" spans="2:20">
      <c r="B180" s="98"/>
      <c r="C180">
        <v>165</v>
      </c>
      <c r="D180" s="19">
        <f t="shared" si="33"/>
        <v>3101.6498509180228</v>
      </c>
      <c r="E180" s="19">
        <f t="shared" si="30"/>
        <v>2216.0635231826082</v>
      </c>
      <c r="F180" s="19">
        <f t="shared" si="25"/>
        <v>885.58632773541467</v>
      </c>
      <c r="G180" s="19"/>
      <c r="H180" s="19">
        <f t="shared" si="26"/>
        <v>0</v>
      </c>
      <c r="I180" s="19"/>
      <c r="J180" s="19">
        <f t="shared" si="27"/>
        <v>0</v>
      </c>
      <c r="M180" s="19"/>
      <c r="N180" s="19">
        <f t="shared" si="28"/>
        <v>885.58632773541467</v>
      </c>
      <c r="O180" s="19"/>
      <c r="P180" s="19">
        <f t="shared" si="29"/>
        <v>117944.61038017024</v>
      </c>
      <c r="Q180" s="19"/>
    </row>
    <row r="181" spans="2:20">
      <c r="B181" s="98"/>
      <c r="C181">
        <v>166</v>
      </c>
      <c r="D181" s="19">
        <f t="shared" si="33"/>
        <v>3101.6498509180228</v>
      </c>
      <c r="E181" s="19">
        <f t="shared" si="30"/>
        <v>2216.0635231826082</v>
      </c>
      <c r="F181" s="19">
        <f t="shared" si="25"/>
        <v>885.58632773541467</v>
      </c>
      <c r="G181" s="19"/>
      <c r="H181" s="19">
        <f t="shared" si="26"/>
        <v>0</v>
      </c>
      <c r="I181" s="19"/>
      <c r="J181" s="19">
        <f t="shared" si="27"/>
        <v>0</v>
      </c>
      <c r="M181" s="19"/>
      <c r="N181" s="19">
        <f t="shared" si="28"/>
        <v>885.58632773541467</v>
      </c>
      <c r="O181" s="19"/>
      <c r="P181" s="19">
        <f t="shared" si="29"/>
        <v>119820.4483471382</v>
      </c>
      <c r="Q181" s="19"/>
    </row>
    <row r="182" spans="2:20">
      <c r="B182" s="98"/>
      <c r="C182">
        <v>167</v>
      </c>
      <c r="D182" s="19">
        <f t="shared" si="33"/>
        <v>3101.6498509180228</v>
      </c>
      <c r="E182" s="19">
        <f t="shared" si="30"/>
        <v>2216.0635231826082</v>
      </c>
      <c r="F182" s="19">
        <f t="shared" si="25"/>
        <v>885.58632773541467</v>
      </c>
      <c r="G182" s="19"/>
      <c r="H182" s="19">
        <f t="shared" si="26"/>
        <v>0</v>
      </c>
      <c r="I182" s="19"/>
      <c r="J182" s="19">
        <f t="shared" si="27"/>
        <v>0</v>
      </c>
      <c r="M182" s="19"/>
      <c r="N182" s="19">
        <f t="shared" si="28"/>
        <v>885.58632773541467</v>
      </c>
      <c r="O182" s="19"/>
      <c r="P182" s="19">
        <f t="shared" si="29"/>
        <v>121711.91829716421</v>
      </c>
      <c r="Q182" s="19"/>
    </row>
    <row r="183" spans="2:20">
      <c r="B183" s="98"/>
      <c r="C183">
        <v>168</v>
      </c>
      <c r="D183" s="19">
        <f t="shared" si="33"/>
        <v>3101.6498509180228</v>
      </c>
      <c r="E183" s="19">
        <f t="shared" si="30"/>
        <v>2216.0635231826082</v>
      </c>
      <c r="F183" s="19">
        <f t="shared" si="25"/>
        <v>885.58632773541467</v>
      </c>
      <c r="G183" s="19"/>
      <c r="H183" s="19">
        <f t="shared" si="26"/>
        <v>0</v>
      </c>
      <c r="I183" s="19"/>
      <c r="J183" s="19">
        <f t="shared" si="27"/>
        <v>0</v>
      </c>
      <c r="K183" s="19">
        <f>K171*(1+$E$12)</f>
        <v>303799.86686659319</v>
      </c>
      <c r="L183" s="57">
        <f>J183+K183</f>
        <v>303799.86686659319</v>
      </c>
      <c r="M183" s="19"/>
      <c r="N183" s="19">
        <f t="shared" si="28"/>
        <v>885.58632773541467</v>
      </c>
      <c r="O183" s="19"/>
      <c r="P183" s="19">
        <f t="shared" si="29"/>
        <v>123619.15049677379</v>
      </c>
      <c r="Q183" s="19">
        <f>Q171*(1+$E$7)</f>
        <v>605035.88994204463</v>
      </c>
      <c r="R183" s="19">
        <f>Q183-'Primary Residence Mortgage'!J184</f>
        <v>390775.67369736475</v>
      </c>
      <c r="S183" s="57">
        <f>P183+R183</f>
        <v>514394.82419413852</v>
      </c>
      <c r="T183" s="57"/>
    </row>
    <row r="184" spans="2:20">
      <c r="B184" s="98">
        <v>15</v>
      </c>
      <c r="C184">
        <v>169</v>
      </c>
      <c r="D184" s="19">
        <f>D183*(1+$E$10)</f>
        <v>3179.1910971909733</v>
      </c>
      <c r="E184" s="19">
        <f t="shared" si="30"/>
        <v>2216.0635231826082</v>
      </c>
      <c r="F184" s="19">
        <f t="shared" si="25"/>
        <v>963.12757400836517</v>
      </c>
      <c r="G184" s="19"/>
      <c r="H184" s="19">
        <f t="shared" si="26"/>
        <v>0</v>
      </c>
      <c r="I184" s="19"/>
      <c r="J184" s="19">
        <f t="shared" si="27"/>
        <v>0</v>
      </c>
      <c r="M184" s="19"/>
      <c r="N184" s="19">
        <f t="shared" si="28"/>
        <v>963.12757400836517</v>
      </c>
      <c r="O184" s="19"/>
      <c r="P184" s="19">
        <f t="shared" si="29"/>
        <v>125620.463721372</v>
      </c>
      <c r="Q184" s="19"/>
    </row>
    <row r="185" spans="2:20">
      <c r="B185" s="98"/>
      <c r="C185">
        <v>170</v>
      </c>
      <c r="D185" s="19">
        <f>D184</f>
        <v>3179.1910971909733</v>
      </c>
      <c r="E185" s="19">
        <f t="shared" si="30"/>
        <v>2216.0635231826082</v>
      </c>
      <c r="F185" s="19">
        <f t="shared" si="25"/>
        <v>963.12757400836517</v>
      </c>
      <c r="G185" s="19"/>
      <c r="H185" s="19">
        <f t="shared" si="26"/>
        <v>0</v>
      </c>
      <c r="I185" s="19"/>
      <c r="J185" s="19">
        <f t="shared" si="27"/>
        <v>0</v>
      </c>
      <c r="M185" s="19"/>
      <c r="N185" s="19">
        <f t="shared" si="28"/>
        <v>963.12757400836517</v>
      </c>
      <c r="O185" s="19"/>
      <c r="P185" s="19">
        <f t="shared" si="29"/>
        <v>127638.4545561752</v>
      </c>
      <c r="Q185" s="19"/>
    </row>
    <row r="186" spans="2:20">
      <c r="B186" s="98"/>
      <c r="C186">
        <v>171</v>
      </c>
      <c r="D186" s="19">
        <f t="shared" ref="D186:D195" si="34">D185</f>
        <v>3179.1910971909733</v>
      </c>
      <c r="E186" s="19">
        <f t="shared" si="30"/>
        <v>2216.0635231826082</v>
      </c>
      <c r="F186" s="19">
        <f t="shared" si="25"/>
        <v>963.12757400836517</v>
      </c>
      <c r="G186" s="19"/>
      <c r="H186" s="19">
        <f t="shared" si="26"/>
        <v>0</v>
      </c>
      <c r="I186" s="19"/>
      <c r="J186" s="19">
        <f t="shared" si="27"/>
        <v>0</v>
      </c>
      <c r="M186" s="19"/>
      <c r="N186" s="19">
        <f t="shared" si="28"/>
        <v>963.12757400836517</v>
      </c>
      <c r="O186" s="19"/>
      <c r="P186" s="19">
        <f t="shared" si="29"/>
        <v>129673.26198126843</v>
      </c>
      <c r="Q186" s="19"/>
    </row>
    <row r="187" spans="2:20">
      <c r="B187" s="98"/>
      <c r="C187">
        <v>172</v>
      </c>
      <c r="D187" s="19">
        <f t="shared" si="34"/>
        <v>3179.1910971909733</v>
      </c>
      <c r="E187" s="19">
        <f t="shared" si="30"/>
        <v>2216.0635231826082</v>
      </c>
      <c r="F187" s="19">
        <f t="shared" si="25"/>
        <v>963.12757400836517</v>
      </c>
      <c r="G187" s="19"/>
      <c r="H187" s="19">
        <f t="shared" si="26"/>
        <v>0</v>
      </c>
      <c r="I187" s="19"/>
      <c r="J187" s="19">
        <f t="shared" si="27"/>
        <v>0</v>
      </c>
      <c r="M187" s="19"/>
      <c r="N187" s="19">
        <f t="shared" si="28"/>
        <v>963.12757400836517</v>
      </c>
      <c r="O187" s="19"/>
      <c r="P187" s="19">
        <f t="shared" si="29"/>
        <v>131725.0261349041</v>
      </c>
      <c r="Q187" s="19"/>
    </row>
    <row r="188" spans="2:20">
      <c r="B188" s="98"/>
      <c r="C188">
        <v>173</v>
      </c>
      <c r="D188" s="19">
        <f t="shared" si="34"/>
        <v>3179.1910971909733</v>
      </c>
      <c r="E188" s="19">
        <f t="shared" si="30"/>
        <v>2216.0635231826082</v>
      </c>
      <c r="F188" s="19">
        <f t="shared" si="25"/>
        <v>963.12757400836517</v>
      </c>
      <c r="G188" s="19"/>
      <c r="H188" s="19">
        <f t="shared" si="26"/>
        <v>0</v>
      </c>
      <c r="I188" s="19"/>
      <c r="J188" s="19">
        <f t="shared" si="27"/>
        <v>0</v>
      </c>
      <c r="M188" s="19"/>
      <c r="N188" s="19">
        <f t="shared" si="28"/>
        <v>963.12757400836517</v>
      </c>
      <c r="O188" s="19"/>
      <c r="P188" s="19">
        <f t="shared" si="29"/>
        <v>133793.8883231534</v>
      </c>
      <c r="Q188" s="19"/>
    </row>
    <row r="189" spans="2:20">
      <c r="B189" s="98"/>
      <c r="C189">
        <v>174</v>
      </c>
      <c r="D189" s="19">
        <f t="shared" si="34"/>
        <v>3179.1910971909733</v>
      </c>
      <c r="E189" s="19">
        <f t="shared" si="30"/>
        <v>2216.0635231826082</v>
      </c>
      <c r="F189" s="19">
        <f t="shared" si="25"/>
        <v>963.12757400836517</v>
      </c>
      <c r="G189" s="19"/>
      <c r="H189" s="19">
        <f t="shared" si="26"/>
        <v>0</v>
      </c>
      <c r="I189" s="19"/>
      <c r="J189" s="19">
        <f t="shared" si="27"/>
        <v>0</v>
      </c>
      <c r="M189" s="19"/>
      <c r="N189" s="19">
        <f t="shared" si="28"/>
        <v>963.12757400836517</v>
      </c>
      <c r="O189" s="19"/>
      <c r="P189" s="19">
        <f t="shared" si="29"/>
        <v>135879.9910296381</v>
      </c>
      <c r="Q189" s="19"/>
    </row>
    <row r="190" spans="2:20">
      <c r="B190" s="98"/>
      <c r="C190">
        <v>175</v>
      </c>
      <c r="D190" s="19">
        <f t="shared" si="34"/>
        <v>3179.1910971909733</v>
      </c>
      <c r="E190" s="19">
        <f t="shared" si="30"/>
        <v>2216.0635231826082</v>
      </c>
      <c r="F190" s="19">
        <f t="shared" si="25"/>
        <v>963.12757400836517</v>
      </c>
      <c r="G190" s="19"/>
      <c r="H190" s="19">
        <f t="shared" si="26"/>
        <v>0</v>
      </c>
      <c r="I190" s="19"/>
      <c r="J190" s="19">
        <f t="shared" si="27"/>
        <v>0</v>
      </c>
      <c r="M190" s="19"/>
      <c r="N190" s="19">
        <f t="shared" si="28"/>
        <v>963.12757400836517</v>
      </c>
      <c r="O190" s="19"/>
      <c r="P190" s="19">
        <f t="shared" si="29"/>
        <v>137983.47792534353</v>
      </c>
      <c r="Q190" s="19"/>
    </row>
    <row r="191" spans="2:20">
      <c r="B191" s="98"/>
      <c r="C191">
        <v>176</v>
      </c>
      <c r="D191" s="19">
        <f t="shared" si="34"/>
        <v>3179.1910971909733</v>
      </c>
      <c r="E191" s="19">
        <f t="shared" si="30"/>
        <v>2216.0635231826082</v>
      </c>
      <c r="F191" s="19">
        <f t="shared" si="25"/>
        <v>963.12757400836517</v>
      </c>
      <c r="G191" s="19"/>
      <c r="H191" s="19">
        <f t="shared" si="26"/>
        <v>0</v>
      </c>
      <c r="I191" s="19"/>
      <c r="J191" s="19">
        <f t="shared" si="27"/>
        <v>0</v>
      </c>
      <c r="M191" s="19"/>
      <c r="N191" s="19">
        <f t="shared" si="28"/>
        <v>963.12757400836517</v>
      </c>
      <c r="O191" s="19"/>
      <c r="P191" s="19">
        <f t="shared" si="29"/>
        <v>140104.49387851317</v>
      </c>
      <c r="Q191" s="19"/>
    </row>
    <row r="192" spans="2:20">
      <c r="B192" s="98"/>
      <c r="C192">
        <v>177</v>
      </c>
      <c r="D192" s="19">
        <f t="shared" si="34"/>
        <v>3179.1910971909733</v>
      </c>
      <c r="E192" s="19">
        <f t="shared" si="30"/>
        <v>2216.0635231826082</v>
      </c>
      <c r="F192" s="19">
        <f t="shared" si="25"/>
        <v>963.12757400836517</v>
      </c>
      <c r="G192" s="19"/>
      <c r="H192" s="19">
        <f t="shared" si="26"/>
        <v>0</v>
      </c>
      <c r="I192" s="19"/>
      <c r="J192" s="19">
        <f t="shared" si="27"/>
        <v>0</v>
      </c>
      <c r="M192" s="19"/>
      <c r="N192" s="19">
        <f t="shared" si="28"/>
        <v>963.12757400836517</v>
      </c>
      <c r="O192" s="19"/>
      <c r="P192" s="19">
        <f t="shared" si="29"/>
        <v>142243.18496462586</v>
      </c>
      <c r="Q192" s="19"/>
    </row>
    <row r="193" spans="2:20">
      <c r="B193" s="98"/>
      <c r="C193">
        <v>178</v>
      </c>
      <c r="D193" s="19">
        <f t="shared" si="34"/>
        <v>3179.1910971909733</v>
      </c>
      <c r="E193" s="19">
        <f t="shared" si="30"/>
        <v>2216.0635231826082</v>
      </c>
      <c r="F193" s="19">
        <f t="shared" si="25"/>
        <v>963.12757400836517</v>
      </c>
      <c r="G193" s="19"/>
      <c r="H193" s="19">
        <f t="shared" si="26"/>
        <v>0</v>
      </c>
      <c r="I193" s="19"/>
      <c r="J193" s="19">
        <f t="shared" si="27"/>
        <v>0</v>
      </c>
      <c r="M193" s="19"/>
      <c r="N193" s="19">
        <f t="shared" si="28"/>
        <v>963.12757400836517</v>
      </c>
      <c r="O193" s="19"/>
      <c r="P193" s="19">
        <f t="shared" si="29"/>
        <v>144399.69847645616</v>
      </c>
      <c r="Q193" s="19"/>
    </row>
    <row r="194" spans="2:20">
      <c r="B194" s="98"/>
      <c r="C194">
        <v>179</v>
      </c>
      <c r="D194" s="19">
        <f t="shared" si="34"/>
        <v>3179.1910971909733</v>
      </c>
      <c r="E194" s="19">
        <f t="shared" si="30"/>
        <v>2216.0635231826082</v>
      </c>
      <c r="F194" s="19">
        <f t="shared" si="25"/>
        <v>963.12757400836517</v>
      </c>
      <c r="G194" s="19"/>
      <c r="H194" s="19">
        <f t="shared" si="26"/>
        <v>0</v>
      </c>
      <c r="I194" s="19"/>
      <c r="J194" s="19">
        <f t="shared" si="27"/>
        <v>0</v>
      </c>
      <c r="M194" s="19"/>
      <c r="N194" s="19">
        <f t="shared" si="28"/>
        <v>963.12757400836517</v>
      </c>
      <c r="O194" s="19"/>
      <c r="P194" s="19">
        <f t="shared" si="29"/>
        <v>146574.18293421841</v>
      </c>
      <c r="Q194" s="19"/>
    </row>
    <row r="195" spans="2:20">
      <c r="B195" s="98"/>
      <c r="C195">
        <v>180</v>
      </c>
      <c r="D195" s="19">
        <f t="shared" si="34"/>
        <v>3179.1910971909733</v>
      </c>
      <c r="E195" s="19">
        <f t="shared" si="30"/>
        <v>2216.0635231826082</v>
      </c>
      <c r="F195" s="19">
        <f t="shared" si="25"/>
        <v>963.12757400836517</v>
      </c>
      <c r="G195" s="19"/>
      <c r="H195" s="19">
        <f t="shared" si="26"/>
        <v>0</v>
      </c>
      <c r="I195" s="19"/>
      <c r="J195" s="19">
        <f t="shared" si="27"/>
        <v>0</v>
      </c>
      <c r="K195" s="19">
        <f>K183*(1+$E$12)</f>
        <v>334179.85355325253</v>
      </c>
      <c r="L195" s="57">
        <f>J195+K195</f>
        <v>334179.85355325253</v>
      </c>
      <c r="M195" s="19"/>
      <c r="N195" s="19">
        <f t="shared" si="28"/>
        <v>963.12757400836517</v>
      </c>
      <c r="O195" s="19"/>
      <c r="P195" s="19">
        <f t="shared" si="29"/>
        <v>148766.78809579532</v>
      </c>
      <c r="Q195" s="19">
        <f>Q183*(1+$E$7)</f>
        <v>623186.96664030594</v>
      </c>
      <c r="R195" s="19">
        <f>Q195-'Primary Residence Mortgage'!J196</f>
        <v>418849.2576431277</v>
      </c>
      <c r="S195" s="57">
        <f>P195+R195</f>
        <v>567616.04573892301</v>
      </c>
      <c r="T195" s="57"/>
    </row>
    <row r="196" spans="2:20">
      <c r="B196" s="98">
        <v>16</v>
      </c>
      <c r="C196">
        <v>181</v>
      </c>
      <c r="D196" s="19">
        <f>D195*(1+$E$10)</f>
        <v>3258.6708746207473</v>
      </c>
      <c r="E196" s="19">
        <f t="shared" si="30"/>
        <v>2216.0635231826082</v>
      </c>
      <c r="F196" s="19">
        <f t="shared" si="25"/>
        <v>1042.6073514381392</v>
      </c>
      <c r="G196" s="19"/>
      <c r="H196" s="19">
        <f t="shared" si="26"/>
        <v>0</v>
      </c>
      <c r="I196" s="19"/>
      <c r="J196" s="19">
        <f t="shared" si="27"/>
        <v>0</v>
      </c>
      <c r="M196" s="19"/>
      <c r="N196" s="19">
        <f t="shared" si="28"/>
        <v>1042.6073514381392</v>
      </c>
      <c r="O196" s="19"/>
      <c r="P196" s="19">
        <f t="shared" si="29"/>
        <v>151057.80707596039</v>
      </c>
      <c r="Q196" s="19"/>
    </row>
    <row r="197" spans="2:20">
      <c r="B197" s="98"/>
      <c r="C197">
        <v>182</v>
      </c>
      <c r="D197" s="19">
        <f>D196</f>
        <v>3258.6708746207473</v>
      </c>
      <c r="E197" s="19">
        <f t="shared" si="30"/>
        <v>2216.0635231826082</v>
      </c>
      <c r="F197" s="19">
        <f t="shared" si="25"/>
        <v>1042.6073514381392</v>
      </c>
      <c r="G197" s="19"/>
      <c r="H197" s="19">
        <f t="shared" si="26"/>
        <v>0</v>
      </c>
      <c r="I197" s="19"/>
      <c r="J197" s="19">
        <f t="shared" si="27"/>
        <v>0</v>
      </c>
      <c r="M197" s="19"/>
      <c r="N197" s="19">
        <f t="shared" si="28"/>
        <v>1042.6073514381392</v>
      </c>
      <c r="O197" s="19"/>
      <c r="P197" s="19">
        <f t="shared" si="29"/>
        <v>153367.91788096019</v>
      </c>
      <c r="Q197" s="19"/>
    </row>
    <row r="198" spans="2:20">
      <c r="B198" s="98"/>
      <c r="C198">
        <v>183</v>
      </c>
      <c r="D198" s="19">
        <f t="shared" ref="D198:D207" si="35">D197</f>
        <v>3258.6708746207473</v>
      </c>
      <c r="E198" s="19">
        <f t="shared" si="30"/>
        <v>2216.0635231826082</v>
      </c>
      <c r="F198" s="19">
        <f t="shared" si="25"/>
        <v>1042.6073514381392</v>
      </c>
      <c r="G198" s="19"/>
      <c r="H198" s="19">
        <f t="shared" si="26"/>
        <v>0</v>
      </c>
      <c r="I198" s="19"/>
      <c r="J198" s="19">
        <f t="shared" si="27"/>
        <v>0</v>
      </c>
      <c r="M198" s="19"/>
      <c r="N198" s="19">
        <f t="shared" si="28"/>
        <v>1042.6073514381392</v>
      </c>
      <c r="O198" s="19"/>
      <c r="P198" s="19">
        <f t="shared" si="29"/>
        <v>155697.27960933498</v>
      </c>
      <c r="Q198" s="19"/>
    </row>
    <row r="199" spans="2:20">
      <c r="B199" s="98"/>
      <c r="C199">
        <v>184</v>
      </c>
      <c r="D199" s="19">
        <f t="shared" si="35"/>
        <v>3258.6708746207473</v>
      </c>
      <c r="E199" s="19">
        <f t="shared" si="30"/>
        <v>2216.0635231826082</v>
      </c>
      <c r="F199" s="19">
        <f t="shared" si="25"/>
        <v>1042.6073514381392</v>
      </c>
      <c r="G199" s="19"/>
      <c r="H199" s="19">
        <f t="shared" si="26"/>
        <v>0</v>
      </c>
      <c r="I199" s="19"/>
      <c r="J199" s="19">
        <f t="shared" si="27"/>
        <v>0</v>
      </c>
      <c r="M199" s="19"/>
      <c r="N199" s="19">
        <f t="shared" si="28"/>
        <v>1042.6073514381392</v>
      </c>
      <c r="O199" s="19"/>
      <c r="P199" s="19">
        <f t="shared" si="29"/>
        <v>158046.05268544622</v>
      </c>
      <c r="Q199" s="19"/>
    </row>
    <row r="200" spans="2:20">
      <c r="B200" s="98"/>
      <c r="C200">
        <v>185</v>
      </c>
      <c r="D200" s="19">
        <f t="shared" si="35"/>
        <v>3258.6708746207473</v>
      </c>
      <c r="E200" s="19">
        <f t="shared" si="30"/>
        <v>2216.0635231826082</v>
      </c>
      <c r="F200" s="19">
        <f t="shared" si="25"/>
        <v>1042.6073514381392</v>
      </c>
      <c r="G200" s="19"/>
      <c r="H200" s="19">
        <f t="shared" si="26"/>
        <v>0</v>
      </c>
      <c r="I200" s="19"/>
      <c r="J200" s="19">
        <f t="shared" si="27"/>
        <v>0</v>
      </c>
      <c r="M200" s="19"/>
      <c r="N200" s="19">
        <f t="shared" si="28"/>
        <v>1042.6073514381392</v>
      </c>
      <c r="O200" s="19"/>
      <c r="P200" s="19">
        <f t="shared" si="29"/>
        <v>160414.39887052507</v>
      </c>
      <c r="Q200" s="19"/>
    </row>
    <row r="201" spans="2:20">
      <c r="B201" s="98"/>
      <c r="C201">
        <v>186</v>
      </c>
      <c r="D201" s="19">
        <f t="shared" si="35"/>
        <v>3258.6708746207473</v>
      </c>
      <c r="E201" s="19">
        <f t="shared" si="30"/>
        <v>2216.0635231826082</v>
      </c>
      <c r="F201" s="19">
        <f t="shared" si="25"/>
        <v>1042.6073514381392</v>
      </c>
      <c r="G201" s="19"/>
      <c r="H201" s="19">
        <f t="shared" si="26"/>
        <v>0</v>
      </c>
      <c r="I201" s="19"/>
      <c r="J201" s="19">
        <f t="shared" si="27"/>
        <v>0</v>
      </c>
      <c r="M201" s="19"/>
      <c r="N201" s="19">
        <f t="shared" si="28"/>
        <v>1042.6073514381392</v>
      </c>
      <c r="O201" s="19"/>
      <c r="P201" s="19">
        <f t="shared" si="29"/>
        <v>162802.48127381291</v>
      </c>
      <c r="Q201" s="19"/>
    </row>
    <row r="202" spans="2:20">
      <c r="B202" s="98"/>
      <c r="C202">
        <v>187</v>
      </c>
      <c r="D202" s="19">
        <f t="shared" si="35"/>
        <v>3258.6708746207473</v>
      </c>
      <c r="E202" s="19">
        <f t="shared" si="30"/>
        <v>2216.0635231826082</v>
      </c>
      <c r="F202" s="19">
        <f t="shared" si="25"/>
        <v>1042.6073514381392</v>
      </c>
      <c r="G202" s="19"/>
      <c r="H202" s="19">
        <f t="shared" si="26"/>
        <v>0</v>
      </c>
      <c r="I202" s="19"/>
      <c r="J202" s="19">
        <f t="shared" si="27"/>
        <v>0</v>
      </c>
      <c r="M202" s="19"/>
      <c r="N202" s="19">
        <f t="shared" si="28"/>
        <v>1042.6073514381392</v>
      </c>
      <c r="O202" s="19"/>
      <c r="P202" s="19">
        <f t="shared" si="29"/>
        <v>165210.4643637948</v>
      </c>
      <c r="Q202" s="19"/>
    </row>
    <row r="203" spans="2:20">
      <c r="B203" s="98"/>
      <c r="C203">
        <v>188</v>
      </c>
      <c r="D203" s="19">
        <f t="shared" si="35"/>
        <v>3258.6708746207473</v>
      </c>
      <c r="E203" s="19">
        <f t="shared" si="30"/>
        <v>2216.0635231826082</v>
      </c>
      <c r="F203" s="19">
        <f t="shared" si="25"/>
        <v>1042.6073514381392</v>
      </c>
      <c r="G203" s="19"/>
      <c r="H203" s="19">
        <f t="shared" si="26"/>
        <v>0</v>
      </c>
      <c r="I203" s="19"/>
      <c r="J203" s="19">
        <f t="shared" si="27"/>
        <v>0</v>
      </c>
      <c r="M203" s="19"/>
      <c r="N203" s="19">
        <f t="shared" si="28"/>
        <v>1042.6073514381392</v>
      </c>
      <c r="O203" s="19"/>
      <c r="P203" s="19">
        <f t="shared" si="29"/>
        <v>167638.51397952656</v>
      </c>
      <c r="Q203" s="19"/>
    </row>
    <row r="204" spans="2:20">
      <c r="B204" s="98"/>
      <c r="C204">
        <v>189</v>
      </c>
      <c r="D204" s="19">
        <f t="shared" si="35"/>
        <v>3258.6708746207473</v>
      </c>
      <c r="E204" s="19">
        <f t="shared" si="30"/>
        <v>2216.0635231826082</v>
      </c>
      <c r="F204" s="19">
        <f t="shared" si="25"/>
        <v>1042.6073514381392</v>
      </c>
      <c r="G204" s="19"/>
      <c r="H204" s="19">
        <f t="shared" si="26"/>
        <v>0</v>
      </c>
      <c r="I204" s="19"/>
      <c r="J204" s="19">
        <f t="shared" si="27"/>
        <v>0</v>
      </c>
      <c r="M204" s="19"/>
      <c r="N204" s="19">
        <f t="shared" si="28"/>
        <v>1042.6073514381392</v>
      </c>
      <c r="O204" s="19"/>
      <c r="P204" s="19">
        <f t="shared" si="29"/>
        <v>170086.79734205606</v>
      </c>
      <c r="Q204" s="19"/>
    </row>
    <row r="205" spans="2:20">
      <c r="B205" s="98"/>
      <c r="C205">
        <v>190</v>
      </c>
      <c r="D205" s="19">
        <f t="shared" si="35"/>
        <v>3258.6708746207473</v>
      </c>
      <c r="E205" s="19">
        <f t="shared" si="30"/>
        <v>2216.0635231826082</v>
      </c>
      <c r="F205" s="19">
        <f t="shared" si="25"/>
        <v>1042.6073514381392</v>
      </c>
      <c r="G205" s="19"/>
      <c r="H205" s="19">
        <f t="shared" si="26"/>
        <v>0</v>
      </c>
      <c r="I205" s="19"/>
      <c r="J205" s="19">
        <f t="shared" si="27"/>
        <v>0</v>
      </c>
      <c r="M205" s="19"/>
      <c r="N205" s="19">
        <f t="shared" si="28"/>
        <v>1042.6073514381392</v>
      </c>
      <c r="O205" s="19"/>
      <c r="P205" s="19">
        <f t="shared" si="29"/>
        <v>172555.48306593997</v>
      </c>
      <c r="Q205" s="19"/>
    </row>
    <row r="206" spans="2:20">
      <c r="B206" s="98"/>
      <c r="C206">
        <v>191</v>
      </c>
      <c r="D206" s="19">
        <f t="shared" si="35"/>
        <v>3258.6708746207473</v>
      </c>
      <c r="E206" s="19">
        <f t="shared" si="30"/>
        <v>2216.0635231826082</v>
      </c>
      <c r="F206" s="19">
        <f t="shared" si="25"/>
        <v>1042.6073514381392</v>
      </c>
      <c r="G206" s="19"/>
      <c r="H206" s="19">
        <f t="shared" si="26"/>
        <v>0</v>
      </c>
      <c r="I206" s="19"/>
      <c r="J206" s="19">
        <f t="shared" si="27"/>
        <v>0</v>
      </c>
      <c r="M206" s="19"/>
      <c r="N206" s="19">
        <f t="shared" si="28"/>
        <v>1042.6073514381392</v>
      </c>
      <c r="O206" s="19"/>
      <c r="P206" s="19">
        <f t="shared" si="29"/>
        <v>175044.74117085626</v>
      </c>
      <c r="Q206" s="19"/>
    </row>
    <row r="207" spans="2:20">
      <c r="B207" s="98"/>
      <c r="C207">
        <v>192</v>
      </c>
      <c r="D207" s="19">
        <f t="shared" si="35"/>
        <v>3258.6708746207473</v>
      </c>
      <c r="E207" s="19">
        <f t="shared" si="30"/>
        <v>2216.0635231826082</v>
      </c>
      <c r="F207" s="19">
        <f t="shared" si="25"/>
        <v>1042.6073514381392</v>
      </c>
      <c r="G207" s="19"/>
      <c r="H207" s="19">
        <f t="shared" si="26"/>
        <v>0</v>
      </c>
      <c r="I207" s="19"/>
      <c r="J207" s="19">
        <f t="shared" si="27"/>
        <v>0</v>
      </c>
      <c r="K207" s="19">
        <f>K195*(1+$E$12)</f>
        <v>367597.8389085778</v>
      </c>
      <c r="L207" s="57">
        <f>J207+K207</f>
        <v>367597.8389085778</v>
      </c>
      <c r="M207" s="19"/>
      <c r="N207" s="19">
        <f t="shared" si="28"/>
        <v>1042.6073514381392</v>
      </c>
      <c r="O207" s="19"/>
      <c r="P207" s="19">
        <f t="shared" si="29"/>
        <v>177554.7430933135</v>
      </c>
      <c r="Q207" s="19">
        <f>Q195*(1+$E$7)</f>
        <v>641882.57563951518</v>
      </c>
      <c r="R207" s="19">
        <f>Q207-'Primary Residence Mortgage'!J208</f>
        <v>447851.066026518</v>
      </c>
      <c r="S207" s="57">
        <f>P207+R207</f>
        <v>625405.80911983154</v>
      </c>
      <c r="T207" s="57"/>
    </row>
    <row r="208" spans="2:20">
      <c r="B208" s="98">
        <v>17</v>
      </c>
      <c r="C208">
        <v>193</v>
      </c>
      <c r="D208" s="19">
        <f>D207*(1+$E$10)</f>
        <v>3340.1376464862656</v>
      </c>
      <c r="E208" s="19">
        <f t="shared" si="30"/>
        <v>2216.0635231826082</v>
      </c>
      <c r="F208" s="19">
        <f t="shared" si="25"/>
        <v>1124.0741233036574</v>
      </c>
      <c r="G208" s="19"/>
      <c r="H208" s="19">
        <f t="shared" si="26"/>
        <v>0</v>
      </c>
      <c r="I208" s="19"/>
      <c r="J208" s="19">
        <f t="shared" si="27"/>
        <v>0</v>
      </c>
      <c r="M208" s="19"/>
      <c r="N208" s="19">
        <f t="shared" si="28"/>
        <v>1124.0741233036574</v>
      </c>
      <c r="O208" s="19"/>
      <c r="P208" s="19">
        <f t="shared" si="29"/>
        <v>180167.80736008898</v>
      </c>
      <c r="Q208" s="19"/>
    </row>
    <row r="209" spans="2:20">
      <c r="B209" s="98"/>
      <c r="C209">
        <v>194</v>
      </c>
      <c r="D209" s="19">
        <f>D208</f>
        <v>3340.1376464862656</v>
      </c>
      <c r="E209" s="19">
        <f t="shared" si="30"/>
        <v>2216.0635231826082</v>
      </c>
      <c r="F209" s="19">
        <f t="shared" ref="F209:F272" si="36">D209-E209</f>
        <v>1124.0741233036574</v>
      </c>
      <c r="G209" s="19"/>
      <c r="H209" s="19">
        <f t="shared" ref="H209:H272" si="37">IF(F209&lt;0,-F209,0)</f>
        <v>0</v>
      </c>
      <c r="I209" s="19"/>
      <c r="J209" s="19">
        <f t="shared" ref="J209:J272" si="38">(J208+H209)*(1+$E$12/12)</f>
        <v>0</v>
      </c>
      <c r="M209" s="19"/>
      <c r="N209" s="19">
        <f t="shared" ref="N209:N272" si="39">IF(F209&gt;0,F209,0)</f>
        <v>1124.0741233036574</v>
      </c>
      <c r="O209" s="19"/>
      <c r="P209" s="19">
        <f t="shared" ref="P209:P272" si="40">(P208+N209)*(1+$E$12/12)</f>
        <v>182802.64716242091</v>
      </c>
      <c r="Q209" s="19"/>
    </row>
    <row r="210" spans="2:20">
      <c r="B210" s="98"/>
      <c r="C210">
        <v>195</v>
      </c>
      <c r="D210" s="19">
        <f t="shared" ref="D210:D219" si="41">D209</f>
        <v>3340.1376464862656</v>
      </c>
      <c r="E210" s="19">
        <f t="shared" ref="E210:E273" si="42">E209</f>
        <v>2216.0635231826082</v>
      </c>
      <c r="F210" s="19">
        <f t="shared" si="36"/>
        <v>1124.0741233036574</v>
      </c>
      <c r="G210" s="19"/>
      <c r="H210" s="19">
        <f t="shared" si="37"/>
        <v>0</v>
      </c>
      <c r="I210" s="19"/>
      <c r="J210" s="19">
        <f t="shared" si="38"/>
        <v>0</v>
      </c>
      <c r="M210" s="19"/>
      <c r="N210" s="19">
        <f t="shared" si="39"/>
        <v>1124.0741233036574</v>
      </c>
      <c r="O210" s="19"/>
      <c r="P210" s="19">
        <f t="shared" si="40"/>
        <v>185459.44396310562</v>
      </c>
      <c r="Q210" s="19"/>
    </row>
    <row r="211" spans="2:20">
      <c r="B211" s="98"/>
      <c r="C211">
        <v>196</v>
      </c>
      <c r="D211" s="19">
        <f t="shared" si="41"/>
        <v>3340.1376464862656</v>
      </c>
      <c r="E211" s="19">
        <f t="shared" si="42"/>
        <v>2216.0635231826082</v>
      </c>
      <c r="F211" s="19">
        <f t="shared" si="36"/>
        <v>1124.0741233036574</v>
      </c>
      <c r="G211" s="19"/>
      <c r="H211" s="19">
        <f t="shared" si="37"/>
        <v>0</v>
      </c>
      <c r="I211" s="19"/>
      <c r="J211" s="19">
        <f t="shared" si="38"/>
        <v>0</v>
      </c>
      <c r="M211" s="19"/>
      <c r="N211" s="19">
        <f t="shared" si="39"/>
        <v>1124.0741233036574</v>
      </c>
      <c r="O211" s="19"/>
      <c r="P211" s="19">
        <f t="shared" si="40"/>
        <v>188138.38073712937</v>
      </c>
      <c r="Q211" s="19"/>
    </row>
    <row r="212" spans="2:20">
      <c r="B212" s="98"/>
      <c r="C212">
        <v>197</v>
      </c>
      <c r="D212" s="19">
        <f t="shared" si="41"/>
        <v>3340.1376464862656</v>
      </c>
      <c r="E212" s="19">
        <f t="shared" si="42"/>
        <v>2216.0635231826082</v>
      </c>
      <c r="F212" s="19">
        <f t="shared" si="36"/>
        <v>1124.0741233036574</v>
      </c>
      <c r="G212" s="19"/>
      <c r="H212" s="19">
        <f t="shared" si="37"/>
        <v>0</v>
      </c>
      <c r="I212" s="19"/>
      <c r="J212" s="19">
        <f t="shared" si="38"/>
        <v>0</v>
      </c>
      <c r="M212" s="19"/>
      <c r="N212" s="19">
        <f t="shared" si="39"/>
        <v>1124.0741233036574</v>
      </c>
      <c r="O212" s="19"/>
      <c r="P212" s="19">
        <f t="shared" si="40"/>
        <v>190839.64198426998</v>
      </c>
      <c r="Q212" s="19"/>
    </row>
    <row r="213" spans="2:20">
      <c r="B213" s="98"/>
      <c r="C213">
        <v>198</v>
      </c>
      <c r="D213" s="19">
        <f t="shared" si="41"/>
        <v>3340.1376464862656</v>
      </c>
      <c r="E213" s="19">
        <f t="shared" si="42"/>
        <v>2216.0635231826082</v>
      </c>
      <c r="F213" s="19">
        <f t="shared" si="36"/>
        <v>1124.0741233036574</v>
      </c>
      <c r="G213" s="19"/>
      <c r="H213" s="19">
        <f t="shared" si="37"/>
        <v>0</v>
      </c>
      <c r="I213" s="19"/>
      <c r="J213" s="19">
        <f t="shared" si="38"/>
        <v>0</v>
      </c>
      <c r="M213" s="19"/>
      <c r="N213" s="19">
        <f t="shared" si="39"/>
        <v>1124.0741233036574</v>
      </c>
      <c r="O213" s="19"/>
      <c r="P213" s="19">
        <f t="shared" si="40"/>
        <v>193563.41374180344</v>
      </c>
      <c r="Q213" s="19"/>
    </row>
    <row r="214" spans="2:20">
      <c r="B214" s="98"/>
      <c r="C214">
        <v>199</v>
      </c>
      <c r="D214" s="19">
        <f t="shared" si="41"/>
        <v>3340.1376464862656</v>
      </c>
      <c r="E214" s="19">
        <f t="shared" si="42"/>
        <v>2216.0635231826082</v>
      </c>
      <c r="F214" s="19">
        <f t="shared" si="36"/>
        <v>1124.0741233036574</v>
      </c>
      <c r="G214" s="19"/>
      <c r="H214" s="19">
        <f t="shared" si="37"/>
        <v>0</v>
      </c>
      <c r="I214" s="19"/>
      <c r="J214" s="19">
        <f t="shared" si="38"/>
        <v>0</v>
      </c>
      <c r="M214" s="19"/>
      <c r="N214" s="19">
        <f t="shared" si="39"/>
        <v>1124.0741233036574</v>
      </c>
      <c r="O214" s="19"/>
      <c r="P214" s="19">
        <f t="shared" si="40"/>
        <v>196309.88359731634</v>
      </c>
      <c r="Q214" s="19"/>
    </row>
    <row r="215" spans="2:20">
      <c r="B215" s="98"/>
      <c r="C215">
        <v>200</v>
      </c>
      <c r="D215" s="19">
        <f t="shared" si="41"/>
        <v>3340.1376464862656</v>
      </c>
      <c r="E215" s="19">
        <f t="shared" si="42"/>
        <v>2216.0635231826082</v>
      </c>
      <c r="F215" s="19">
        <f t="shared" si="36"/>
        <v>1124.0741233036574</v>
      </c>
      <c r="G215" s="19"/>
      <c r="H215" s="19">
        <f t="shared" si="37"/>
        <v>0</v>
      </c>
      <c r="I215" s="19"/>
      <c r="J215" s="19">
        <f t="shared" si="38"/>
        <v>0</v>
      </c>
      <c r="M215" s="19"/>
      <c r="N215" s="19">
        <f t="shared" si="39"/>
        <v>1124.0741233036574</v>
      </c>
      <c r="O215" s="19"/>
      <c r="P215" s="19">
        <f t="shared" si="40"/>
        <v>199079.24070162515</v>
      </c>
      <c r="Q215" s="19"/>
    </row>
    <row r="216" spans="2:20">
      <c r="B216" s="98"/>
      <c r="C216">
        <v>201</v>
      </c>
      <c r="D216" s="19">
        <f t="shared" si="41"/>
        <v>3340.1376464862656</v>
      </c>
      <c r="E216" s="19">
        <f t="shared" si="42"/>
        <v>2216.0635231826082</v>
      </c>
      <c r="F216" s="19">
        <f t="shared" si="36"/>
        <v>1124.0741233036574</v>
      </c>
      <c r="G216" s="19"/>
      <c r="H216" s="19">
        <f t="shared" si="37"/>
        <v>0</v>
      </c>
      <c r="I216" s="19"/>
      <c r="J216" s="19">
        <f t="shared" si="38"/>
        <v>0</v>
      </c>
      <c r="M216" s="19"/>
      <c r="N216" s="19">
        <f t="shared" si="39"/>
        <v>1124.0741233036574</v>
      </c>
      <c r="O216" s="19"/>
      <c r="P216" s="19">
        <f t="shared" si="40"/>
        <v>201871.67578180323</v>
      </c>
      <c r="Q216" s="19"/>
    </row>
    <row r="217" spans="2:20">
      <c r="B217" s="98"/>
      <c r="C217">
        <v>202</v>
      </c>
      <c r="D217" s="19">
        <f t="shared" si="41"/>
        <v>3340.1376464862656</v>
      </c>
      <c r="E217" s="19">
        <f t="shared" si="42"/>
        <v>2216.0635231826082</v>
      </c>
      <c r="F217" s="19">
        <f t="shared" si="36"/>
        <v>1124.0741233036574</v>
      </c>
      <c r="G217" s="19"/>
      <c r="H217" s="19">
        <f t="shared" si="37"/>
        <v>0</v>
      </c>
      <c r="I217" s="19"/>
      <c r="J217" s="19">
        <f t="shared" si="38"/>
        <v>0</v>
      </c>
      <c r="M217" s="19"/>
      <c r="N217" s="19">
        <f t="shared" si="39"/>
        <v>1124.0741233036574</v>
      </c>
      <c r="O217" s="19"/>
      <c r="P217" s="19">
        <f t="shared" si="40"/>
        <v>204687.38115431613</v>
      </c>
      <c r="Q217" s="19"/>
    </row>
    <row r="218" spans="2:20">
      <c r="B218" s="98"/>
      <c r="C218">
        <v>203</v>
      </c>
      <c r="D218" s="19">
        <f t="shared" si="41"/>
        <v>3340.1376464862656</v>
      </c>
      <c r="E218" s="19">
        <f t="shared" si="42"/>
        <v>2216.0635231826082</v>
      </c>
      <c r="F218" s="19">
        <f t="shared" si="36"/>
        <v>1124.0741233036574</v>
      </c>
      <c r="G218" s="19"/>
      <c r="H218" s="19">
        <f t="shared" si="37"/>
        <v>0</v>
      </c>
      <c r="I218" s="19"/>
      <c r="J218" s="19">
        <f t="shared" si="38"/>
        <v>0</v>
      </c>
      <c r="M218" s="19"/>
      <c r="N218" s="19">
        <f t="shared" si="39"/>
        <v>1124.0741233036574</v>
      </c>
      <c r="O218" s="19"/>
      <c r="P218" s="19">
        <f t="shared" si="40"/>
        <v>207526.55073826661</v>
      </c>
      <c r="Q218" s="19"/>
    </row>
    <row r="219" spans="2:20">
      <c r="B219" s="98"/>
      <c r="C219">
        <v>204</v>
      </c>
      <c r="D219" s="19">
        <f t="shared" si="41"/>
        <v>3340.1376464862656</v>
      </c>
      <c r="E219" s="19">
        <f t="shared" si="42"/>
        <v>2216.0635231826082</v>
      </c>
      <c r="F219" s="19">
        <f t="shared" si="36"/>
        <v>1124.0741233036574</v>
      </c>
      <c r="G219" s="19"/>
      <c r="H219" s="19">
        <f t="shared" si="37"/>
        <v>0</v>
      </c>
      <c r="I219" s="19"/>
      <c r="J219" s="19">
        <f t="shared" si="38"/>
        <v>0</v>
      </c>
      <c r="K219" s="19">
        <f>K207*(1+$E$12)</f>
        <v>404357.62279943563</v>
      </c>
      <c r="L219" s="57">
        <f>J219+K219</f>
        <v>404357.62279943563</v>
      </c>
      <c r="M219" s="19"/>
      <c r="N219" s="19">
        <f t="shared" si="39"/>
        <v>1124.0741233036574</v>
      </c>
      <c r="O219" s="19"/>
      <c r="P219" s="19">
        <f t="shared" si="40"/>
        <v>210389.38006875003</v>
      </c>
      <c r="Q219" s="19">
        <f>Q207*(1+$E$7)</f>
        <v>661139.05290870066</v>
      </c>
      <c r="R219" s="19">
        <f>Q219-'Primary Residence Mortgage'!J220</f>
        <v>477812.27175767929</v>
      </c>
      <c r="S219" s="57">
        <f>P219+R219</f>
        <v>688201.6518264293</v>
      </c>
      <c r="T219" s="57"/>
    </row>
    <row r="220" spans="2:20">
      <c r="B220" s="98">
        <v>18</v>
      </c>
      <c r="C220">
        <v>205</v>
      </c>
      <c r="D220" s="19">
        <f>D219*(1+$E$10)</f>
        <v>3423.6410876484219</v>
      </c>
      <c r="E220" s="19">
        <f t="shared" si="42"/>
        <v>2216.0635231826082</v>
      </c>
      <c r="F220" s="19">
        <f t="shared" si="36"/>
        <v>1207.5775644658138</v>
      </c>
      <c r="G220" s="19"/>
      <c r="H220" s="19">
        <f t="shared" si="37"/>
        <v>0</v>
      </c>
      <c r="I220" s="19"/>
      <c r="J220" s="19">
        <f t="shared" si="38"/>
        <v>0</v>
      </c>
      <c r="M220" s="19"/>
      <c r="N220" s="19">
        <f t="shared" si="39"/>
        <v>1207.5775644658138</v>
      </c>
      <c r="O220" s="19"/>
      <c r="P220" s="19">
        <f t="shared" si="40"/>
        <v>213360.26561349264</v>
      </c>
      <c r="Q220" s="19"/>
    </row>
    <row r="221" spans="2:20">
      <c r="B221" s="98"/>
      <c r="C221">
        <v>206</v>
      </c>
      <c r="D221" s="19">
        <f>D220</f>
        <v>3423.6410876484219</v>
      </c>
      <c r="E221" s="19">
        <f t="shared" si="42"/>
        <v>2216.0635231826082</v>
      </c>
      <c r="F221" s="19">
        <f t="shared" si="36"/>
        <v>1207.5775644658138</v>
      </c>
      <c r="G221" s="19"/>
      <c r="H221" s="19">
        <f t="shared" si="37"/>
        <v>0</v>
      </c>
      <c r="I221" s="19"/>
      <c r="J221" s="19">
        <f t="shared" si="38"/>
        <v>0</v>
      </c>
      <c r="M221" s="19"/>
      <c r="N221" s="19">
        <f t="shared" si="39"/>
        <v>1207.5775644658138</v>
      </c>
      <c r="O221" s="19"/>
      <c r="P221" s="19">
        <f t="shared" si="40"/>
        <v>216355.90853777475</v>
      </c>
      <c r="Q221" s="19"/>
    </row>
    <row r="222" spans="2:20">
      <c r="B222" s="98"/>
      <c r="C222">
        <v>207</v>
      </c>
      <c r="D222" s="19">
        <f t="shared" ref="D222:D231" si="43">D221</f>
        <v>3423.6410876484219</v>
      </c>
      <c r="E222" s="19">
        <f t="shared" si="42"/>
        <v>2216.0635231826082</v>
      </c>
      <c r="F222" s="19">
        <f t="shared" si="36"/>
        <v>1207.5775644658138</v>
      </c>
      <c r="G222" s="19"/>
      <c r="H222" s="19">
        <f t="shared" si="37"/>
        <v>0</v>
      </c>
      <c r="I222" s="19"/>
      <c r="J222" s="19">
        <f t="shared" si="38"/>
        <v>0</v>
      </c>
      <c r="M222" s="19"/>
      <c r="N222" s="19">
        <f t="shared" si="39"/>
        <v>1207.5775644658138</v>
      </c>
      <c r="O222" s="19"/>
      <c r="P222" s="19">
        <f t="shared" si="40"/>
        <v>219376.51515309257</v>
      </c>
      <c r="Q222" s="19"/>
    </row>
    <row r="223" spans="2:20">
      <c r="B223" s="98"/>
      <c r="C223">
        <v>208</v>
      </c>
      <c r="D223" s="19">
        <f t="shared" si="43"/>
        <v>3423.6410876484219</v>
      </c>
      <c r="E223" s="19">
        <f t="shared" si="42"/>
        <v>2216.0635231826082</v>
      </c>
      <c r="F223" s="19">
        <f t="shared" si="36"/>
        <v>1207.5775644658138</v>
      </c>
      <c r="G223" s="19"/>
      <c r="H223" s="19">
        <f t="shared" si="37"/>
        <v>0</v>
      </c>
      <c r="I223" s="19"/>
      <c r="J223" s="19">
        <f t="shared" si="38"/>
        <v>0</v>
      </c>
      <c r="M223" s="19"/>
      <c r="N223" s="19">
        <f t="shared" si="39"/>
        <v>1207.5775644658138</v>
      </c>
      <c r="O223" s="19"/>
      <c r="P223" s="19">
        <f t="shared" si="40"/>
        <v>222422.2934902047</v>
      </c>
      <c r="Q223" s="19"/>
    </row>
    <row r="224" spans="2:20">
      <c r="B224" s="98"/>
      <c r="C224">
        <v>209</v>
      </c>
      <c r="D224" s="19">
        <f t="shared" si="43"/>
        <v>3423.6410876484219</v>
      </c>
      <c r="E224" s="19">
        <f t="shared" si="42"/>
        <v>2216.0635231826082</v>
      </c>
      <c r="F224" s="19">
        <f t="shared" si="36"/>
        <v>1207.5775644658138</v>
      </c>
      <c r="G224" s="19"/>
      <c r="H224" s="19">
        <f t="shared" si="37"/>
        <v>0</v>
      </c>
      <c r="I224" s="19"/>
      <c r="J224" s="19">
        <f t="shared" si="38"/>
        <v>0</v>
      </c>
      <c r="M224" s="19"/>
      <c r="N224" s="19">
        <f t="shared" si="39"/>
        <v>1207.5775644658138</v>
      </c>
      <c r="O224" s="19"/>
      <c r="P224" s="19">
        <f t="shared" si="40"/>
        <v>225493.45331345944</v>
      </c>
      <c r="Q224" s="19"/>
    </row>
    <row r="225" spans="2:20">
      <c r="B225" s="98"/>
      <c r="C225">
        <v>210</v>
      </c>
      <c r="D225" s="19">
        <f t="shared" si="43"/>
        <v>3423.6410876484219</v>
      </c>
      <c r="E225" s="19">
        <f t="shared" si="42"/>
        <v>2216.0635231826082</v>
      </c>
      <c r="F225" s="19">
        <f t="shared" si="36"/>
        <v>1207.5775644658138</v>
      </c>
      <c r="G225" s="19"/>
      <c r="H225" s="19">
        <f t="shared" si="37"/>
        <v>0</v>
      </c>
      <c r="I225" s="19"/>
      <c r="J225" s="19">
        <f t="shared" si="38"/>
        <v>0</v>
      </c>
      <c r="M225" s="19"/>
      <c r="N225" s="19">
        <f t="shared" si="39"/>
        <v>1207.5775644658138</v>
      </c>
      <c r="O225" s="19"/>
      <c r="P225" s="19">
        <f t="shared" si="40"/>
        <v>228590.20613524129</v>
      </c>
      <c r="Q225" s="19"/>
    </row>
    <row r="226" spans="2:20">
      <c r="B226" s="98"/>
      <c r="C226">
        <v>211</v>
      </c>
      <c r="D226" s="19">
        <f t="shared" si="43"/>
        <v>3423.6410876484219</v>
      </c>
      <c r="E226" s="19">
        <f t="shared" si="42"/>
        <v>2216.0635231826082</v>
      </c>
      <c r="F226" s="19">
        <f t="shared" si="36"/>
        <v>1207.5775644658138</v>
      </c>
      <c r="G226" s="19"/>
      <c r="H226" s="19">
        <f t="shared" si="37"/>
        <v>0</v>
      </c>
      <c r="I226" s="19"/>
      <c r="J226" s="19">
        <f t="shared" si="38"/>
        <v>0</v>
      </c>
      <c r="M226" s="19"/>
      <c r="N226" s="19">
        <f t="shared" si="39"/>
        <v>1207.5775644658138</v>
      </c>
      <c r="O226" s="19"/>
      <c r="P226" s="19">
        <f t="shared" si="40"/>
        <v>231712.76523053797</v>
      </c>
      <c r="Q226" s="19"/>
    </row>
    <row r="227" spans="2:20">
      <c r="B227" s="98"/>
      <c r="C227">
        <v>212</v>
      </c>
      <c r="D227" s="19">
        <f t="shared" si="43"/>
        <v>3423.6410876484219</v>
      </c>
      <c r="E227" s="19">
        <f t="shared" si="42"/>
        <v>2216.0635231826082</v>
      </c>
      <c r="F227" s="19">
        <f t="shared" si="36"/>
        <v>1207.5775644658138</v>
      </c>
      <c r="G227" s="19"/>
      <c r="H227" s="19">
        <f t="shared" si="37"/>
        <v>0</v>
      </c>
      <c r="I227" s="19"/>
      <c r="J227" s="19">
        <f t="shared" si="38"/>
        <v>0</v>
      </c>
      <c r="M227" s="19"/>
      <c r="N227" s="19">
        <f t="shared" si="39"/>
        <v>1207.5775644658138</v>
      </c>
      <c r="O227" s="19"/>
      <c r="P227" s="19">
        <f t="shared" si="40"/>
        <v>234861.3456516288</v>
      </c>
      <c r="Q227" s="19"/>
    </row>
    <row r="228" spans="2:20">
      <c r="B228" s="98"/>
      <c r="C228">
        <v>213</v>
      </c>
      <c r="D228" s="19">
        <f t="shared" si="43"/>
        <v>3423.6410876484219</v>
      </c>
      <c r="E228" s="19">
        <f t="shared" si="42"/>
        <v>2216.0635231826082</v>
      </c>
      <c r="F228" s="19">
        <f t="shared" si="36"/>
        <v>1207.5775644658138</v>
      </c>
      <c r="G228" s="19"/>
      <c r="H228" s="19">
        <f t="shared" si="37"/>
        <v>0</v>
      </c>
      <c r="I228" s="19"/>
      <c r="J228" s="19">
        <f t="shared" si="38"/>
        <v>0</v>
      </c>
      <c r="M228" s="19"/>
      <c r="N228" s="19">
        <f t="shared" si="39"/>
        <v>1207.5775644658138</v>
      </c>
      <c r="O228" s="19"/>
      <c r="P228" s="19">
        <f t="shared" si="40"/>
        <v>238036.16424289541</v>
      </c>
      <c r="Q228" s="19"/>
    </row>
    <row r="229" spans="2:20">
      <c r="B229" s="98"/>
      <c r="C229">
        <v>214</v>
      </c>
      <c r="D229" s="19">
        <f t="shared" si="43"/>
        <v>3423.6410876484219</v>
      </c>
      <c r="E229" s="19">
        <f t="shared" si="42"/>
        <v>2216.0635231826082</v>
      </c>
      <c r="F229" s="19">
        <f t="shared" si="36"/>
        <v>1207.5775644658138</v>
      </c>
      <c r="G229" s="19"/>
      <c r="H229" s="19">
        <f t="shared" si="37"/>
        <v>0</v>
      </c>
      <c r="I229" s="19"/>
      <c r="J229" s="19">
        <f t="shared" si="38"/>
        <v>0</v>
      </c>
      <c r="M229" s="19"/>
      <c r="N229" s="19">
        <f t="shared" si="39"/>
        <v>1207.5775644658138</v>
      </c>
      <c r="O229" s="19"/>
      <c r="P229" s="19">
        <f t="shared" si="40"/>
        <v>241237.43965575588</v>
      </c>
      <c r="Q229" s="19"/>
    </row>
    <row r="230" spans="2:20">
      <c r="B230" s="98"/>
      <c r="C230">
        <v>215</v>
      </c>
      <c r="D230" s="19">
        <f t="shared" si="43"/>
        <v>3423.6410876484219</v>
      </c>
      <c r="E230" s="19">
        <f t="shared" si="42"/>
        <v>2216.0635231826082</v>
      </c>
      <c r="F230" s="19">
        <f t="shared" si="36"/>
        <v>1207.5775644658138</v>
      </c>
      <c r="G230" s="19"/>
      <c r="H230" s="19">
        <f t="shared" si="37"/>
        <v>0</v>
      </c>
      <c r="I230" s="19"/>
      <c r="J230" s="19">
        <f t="shared" si="38"/>
        <v>0</v>
      </c>
      <c r="M230" s="19"/>
      <c r="N230" s="19">
        <f t="shared" si="39"/>
        <v>1207.5775644658138</v>
      </c>
      <c r="O230" s="19"/>
      <c r="P230" s="19">
        <f t="shared" si="40"/>
        <v>244465.39236372354</v>
      </c>
      <c r="Q230" s="19"/>
    </row>
    <row r="231" spans="2:20">
      <c r="B231" s="98"/>
      <c r="C231">
        <v>216</v>
      </c>
      <c r="D231" s="19">
        <f t="shared" si="43"/>
        <v>3423.6410876484219</v>
      </c>
      <c r="E231" s="19">
        <f t="shared" si="42"/>
        <v>2216.0635231826082</v>
      </c>
      <c r="F231" s="19">
        <f t="shared" si="36"/>
        <v>1207.5775644658138</v>
      </c>
      <c r="G231" s="19"/>
      <c r="H231" s="19">
        <f t="shared" si="37"/>
        <v>0</v>
      </c>
      <c r="I231" s="19"/>
      <c r="J231" s="19">
        <f t="shared" si="38"/>
        <v>0</v>
      </c>
      <c r="K231" s="19">
        <f>K219*(1+$E$12)</f>
        <v>444793.38507937925</v>
      </c>
      <c r="L231" s="57">
        <f>J231+K231</f>
        <v>444793.38507937925</v>
      </c>
      <c r="M231" s="19"/>
      <c r="N231" s="19">
        <f t="shared" si="39"/>
        <v>1207.5775644658138</v>
      </c>
      <c r="O231" s="19"/>
      <c r="P231" s="19">
        <f t="shared" si="40"/>
        <v>247720.24467759093</v>
      </c>
      <c r="Q231" s="19">
        <f>Q219*(1+$E$7)</f>
        <v>680973.22449596168</v>
      </c>
      <c r="R231" s="19">
        <f>Q231-'Primary Residence Mortgage'!J232</f>
        <v>508765.11155356461</v>
      </c>
      <c r="S231" s="57">
        <f>P231+R231</f>
        <v>756485.35623115557</v>
      </c>
      <c r="T231" s="57"/>
    </row>
    <row r="232" spans="2:20">
      <c r="B232" s="98">
        <v>19</v>
      </c>
      <c r="C232">
        <v>217</v>
      </c>
      <c r="D232" s="19">
        <f>D231*(1+$E$10)</f>
        <v>3509.2321148396322</v>
      </c>
      <c r="E232" s="19">
        <f t="shared" si="42"/>
        <v>2216.0635231826082</v>
      </c>
      <c r="F232" s="19">
        <f t="shared" si="36"/>
        <v>1293.1685916570241</v>
      </c>
      <c r="G232" s="19"/>
      <c r="H232" s="19">
        <f t="shared" si="37"/>
        <v>0</v>
      </c>
      <c r="I232" s="19"/>
      <c r="J232" s="19">
        <f t="shared" si="38"/>
        <v>0</v>
      </c>
      <c r="M232" s="19"/>
      <c r="N232" s="19">
        <f t="shared" si="39"/>
        <v>1293.1685916570241</v>
      </c>
      <c r="O232" s="19"/>
      <c r="P232" s="19">
        <f t="shared" si="40"/>
        <v>251088.52504649168</v>
      </c>
      <c r="Q232" s="19"/>
    </row>
    <row r="233" spans="2:20">
      <c r="B233" s="98"/>
      <c r="C233">
        <v>218</v>
      </c>
      <c r="D233" s="19">
        <f>D232</f>
        <v>3509.2321148396322</v>
      </c>
      <c r="E233" s="19">
        <f t="shared" si="42"/>
        <v>2216.0635231826082</v>
      </c>
      <c r="F233" s="19">
        <f t="shared" si="36"/>
        <v>1293.1685916570241</v>
      </c>
      <c r="G233" s="19"/>
      <c r="H233" s="19">
        <f t="shared" si="37"/>
        <v>0</v>
      </c>
      <c r="I233" s="19"/>
      <c r="J233" s="19">
        <f t="shared" si="38"/>
        <v>0</v>
      </c>
      <c r="M233" s="19"/>
      <c r="N233" s="19">
        <f t="shared" si="39"/>
        <v>1293.1685916570241</v>
      </c>
      <c r="O233" s="19"/>
      <c r="P233" s="19">
        <f t="shared" si="40"/>
        <v>254484.87441846658</v>
      </c>
      <c r="Q233" s="19"/>
    </row>
    <row r="234" spans="2:20">
      <c r="B234" s="98"/>
      <c r="C234">
        <v>219</v>
      </c>
      <c r="D234" s="19">
        <f t="shared" ref="D234:D243" si="44">D233</f>
        <v>3509.2321148396322</v>
      </c>
      <c r="E234" s="19">
        <f t="shared" si="42"/>
        <v>2216.0635231826082</v>
      </c>
      <c r="F234" s="19">
        <f t="shared" si="36"/>
        <v>1293.1685916570241</v>
      </c>
      <c r="G234" s="19"/>
      <c r="H234" s="19">
        <f t="shared" si="37"/>
        <v>0</v>
      </c>
      <c r="I234" s="19"/>
      <c r="J234" s="19">
        <f t="shared" si="38"/>
        <v>0</v>
      </c>
      <c r="M234" s="19"/>
      <c r="N234" s="19">
        <f t="shared" si="39"/>
        <v>1293.1685916570241</v>
      </c>
      <c r="O234" s="19"/>
      <c r="P234" s="19">
        <f t="shared" si="40"/>
        <v>257909.52670187462</v>
      </c>
      <c r="Q234" s="19"/>
    </row>
    <row r="235" spans="2:20">
      <c r="B235" s="98"/>
      <c r="C235">
        <v>220</v>
      </c>
      <c r="D235" s="19">
        <f t="shared" si="44"/>
        <v>3509.2321148396322</v>
      </c>
      <c r="E235" s="19">
        <f t="shared" si="42"/>
        <v>2216.0635231826082</v>
      </c>
      <c r="F235" s="19">
        <f t="shared" si="36"/>
        <v>1293.1685916570241</v>
      </c>
      <c r="G235" s="19"/>
      <c r="H235" s="19">
        <f t="shared" si="37"/>
        <v>0</v>
      </c>
      <c r="I235" s="19"/>
      <c r="J235" s="19">
        <f t="shared" si="38"/>
        <v>0</v>
      </c>
      <c r="M235" s="19"/>
      <c r="N235" s="19">
        <f t="shared" si="39"/>
        <v>1293.1685916570241</v>
      </c>
      <c r="O235" s="19"/>
      <c r="P235" s="19">
        <f t="shared" si="40"/>
        <v>261362.71775431107</v>
      </c>
      <c r="Q235" s="19"/>
    </row>
    <row r="236" spans="2:20">
      <c r="B236" s="98"/>
      <c r="C236">
        <v>221</v>
      </c>
      <c r="D236" s="19">
        <f t="shared" si="44"/>
        <v>3509.2321148396322</v>
      </c>
      <c r="E236" s="19">
        <f t="shared" si="42"/>
        <v>2216.0635231826082</v>
      </c>
      <c r="F236" s="19">
        <f t="shared" si="36"/>
        <v>1293.1685916570241</v>
      </c>
      <c r="G236" s="19"/>
      <c r="H236" s="19">
        <f t="shared" si="37"/>
        <v>0</v>
      </c>
      <c r="I236" s="19"/>
      <c r="J236" s="19">
        <f t="shared" si="38"/>
        <v>0</v>
      </c>
      <c r="M236" s="19"/>
      <c r="N236" s="19">
        <f t="shared" si="39"/>
        <v>1293.1685916570241</v>
      </c>
      <c r="O236" s="19"/>
      <c r="P236" s="19">
        <f t="shared" si="40"/>
        <v>264844.68539885117</v>
      </c>
      <c r="Q236" s="19"/>
    </row>
    <row r="237" spans="2:20">
      <c r="B237" s="98"/>
      <c r="C237">
        <v>222</v>
      </c>
      <c r="D237" s="19">
        <f t="shared" si="44"/>
        <v>3509.2321148396322</v>
      </c>
      <c r="E237" s="19">
        <f t="shared" si="42"/>
        <v>2216.0635231826082</v>
      </c>
      <c r="F237" s="19">
        <f t="shared" si="36"/>
        <v>1293.1685916570241</v>
      </c>
      <c r="G237" s="19"/>
      <c r="H237" s="19">
        <f t="shared" si="37"/>
        <v>0</v>
      </c>
      <c r="I237" s="19"/>
      <c r="J237" s="19">
        <f t="shared" si="38"/>
        <v>0</v>
      </c>
      <c r="M237" s="19"/>
      <c r="N237" s="19">
        <f t="shared" si="39"/>
        <v>1293.1685916570241</v>
      </c>
      <c r="O237" s="19"/>
      <c r="P237" s="19">
        <f t="shared" si="40"/>
        <v>268355.66944042908</v>
      </c>
      <c r="Q237" s="19"/>
    </row>
    <row r="238" spans="2:20">
      <c r="B238" s="98"/>
      <c r="C238">
        <v>223</v>
      </c>
      <c r="D238" s="19">
        <f t="shared" si="44"/>
        <v>3509.2321148396322</v>
      </c>
      <c r="E238" s="19">
        <f t="shared" si="42"/>
        <v>2216.0635231826082</v>
      </c>
      <c r="F238" s="19">
        <f t="shared" si="36"/>
        <v>1293.1685916570241</v>
      </c>
      <c r="G238" s="19"/>
      <c r="H238" s="19">
        <f t="shared" si="37"/>
        <v>0</v>
      </c>
      <c r="I238" s="19"/>
      <c r="J238" s="19">
        <f t="shared" si="38"/>
        <v>0</v>
      </c>
      <c r="M238" s="19"/>
      <c r="N238" s="19">
        <f t="shared" si="39"/>
        <v>1293.1685916570241</v>
      </c>
      <c r="O238" s="19"/>
      <c r="P238" s="19">
        <f t="shared" si="40"/>
        <v>271895.91168235347</v>
      </c>
      <c r="Q238" s="19"/>
    </row>
    <row r="239" spans="2:20">
      <c r="B239" s="98"/>
      <c r="C239">
        <v>224</v>
      </c>
      <c r="D239" s="19">
        <f t="shared" si="44"/>
        <v>3509.2321148396322</v>
      </c>
      <c r="E239" s="19">
        <f t="shared" si="42"/>
        <v>2216.0635231826082</v>
      </c>
      <c r="F239" s="19">
        <f t="shared" si="36"/>
        <v>1293.1685916570241</v>
      </c>
      <c r="G239" s="19"/>
      <c r="H239" s="19">
        <f t="shared" si="37"/>
        <v>0</v>
      </c>
      <c r="I239" s="19"/>
      <c r="J239" s="19">
        <f t="shared" si="38"/>
        <v>0</v>
      </c>
      <c r="M239" s="19"/>
      <c r="N239" s="19">
        <f t="shared" si="39"/>
        <v>1293.1685916570241</v>
      </c>
      <c r="O239" s="19"/>
      <c r="P239" s="19">
        <f t="shared" si="40"/>
        <v>275465.65594296058</v>
      </c>
      <c r="Q239" s="19"/>
    </row>
    <row r="240" spans="2:20">
      <c r="B240" s="98"/>
      <c r="C240">
        <v>225</v>
      </c>
      <c r="D240" s="19">
        <f t="shared" si="44"/>
        <v>3509.2321148396322</v>
      </c>
      <c r="E240" s="19">
        <f t="shared" si="42"/>
        <v>2216.0635231826082</v>
      </c>
      <c r="F240" s="19">
        <f t="shared" si="36"/>
        <v>1293.1685916570241</v>
      </c>
      <c r="G240" s="19"/>
      <c r="H240" s="19">
        <f t="shared" si="37"/>
        <v>0</v>
      </c>
      <c r="I240" s="19"/>
      <c r="J240" s="19">
        <f t="shared" si="38"/>
        <v>0</v>
      </c>
      <c r="M240" s="19"/>
      <c r="N240" s="19">
        <f t="shared" si="39"/>
        <v>1293.1685916570241</v>
      </c>
      <c r="O240" s="19"/>
      <c r="P240" s="19">
        <f t="shared" si="40"/>
        <v>279065.14807240607</v>
      </c>
      <c r="Q240" s="19"/>
    </row>
    <row r="241" spans="2:20">
      <c r="B241" s="98"/>
      <c r="C241">
        <v>226</v>
      </c>
      <c r="D241" s="19">
        <f t="shared" si="44"/>
        <v>3509.2321148396322</v>
      </c>
      <c r="E241" s="19">
        <f t="shared" si="42"/>
        <v>2216.0635231826082</v>
      </c>
      <c r="F241" s="19">
        <f t="shared" si="36"/>
        <v>1293.1685916570241</v>
      </c>
      <c r="G241" s="19"/>
      <c r="H241" s="19">
        <f t="shared" si="37"/>
        <v>0</v>
      </c>
      <c r="I241" s="19"/>
      <c r="J241" s="19">
        <f t="shared" si="38"/>
        <v>0</v>
      </c>
      <c r="M241" s="19"/>
      <c r="N241" s="19">
        <f t="shared" si="39"/>
        <v>1293.1685916570241</v>
      </c>
      <c r="O241" s="19"/>
      <c r="P241" s="19">
        <f t="shared" si="40"/>
        <v>282694.63596959691</v>
      </c>
      <c r="Q241" s="19"/>
    </row>
    <row r="242" spans="2:20">
      <c r="B242" s="98"/>
      <c r="C242">
        <v>227</v>
      </c>
      <c r="D242" s="19">
        <f t="shared" si="44"/>
        <v>3509.2321148396322</v>
      </c>
      <c r="E242" s="19">
        <f t="shared" si="42"/>
        <v>2216.0635231826082</v>
      </c>
      <c r="F242" s="19">
        <f t="shared" si="36"/>
        <v>1293.1685916570241</v>
      </c>
      <c r="G242" s="19"/>
      <c r="H242" s="19">
        <f t="shared" si="37"/>
        <v>0</v>
      </c>
      <c r="I242" s="19"/>
      <c r="J242" s="19">
        <f t="shared" si="38"/>
        <v>0</v>
      </c>
      <c r="M242" s="19"/>
      <c r="N242" s="19">
        <f t="shared" si="39"/>
        <v>1293.1685916570241</v>
      </c>
      <c r="O242" s="19"/>
      <c r="P242" s="19">
        <f t="shared" si="40"/>
        <v>286354.36959926435</v>
      </c>
      <c r="Q242" s="19"/>
    </row>
    <row r="243" spans="2:20">
      <c r="B243" s="98"/>
      <c r="C243">
        <v>228</v>
      </c>
      <c r="D243" s="19">
        <f t="shared" si="44"/>
        <v>3509.2321148396322</v>
      </c>
      <c r="E243" s="19">
        <f t="shared" si="42"/>
        <v>2216.0635231826082</v>
      </c>
      <c r="F243" s="19">
        <f t="shared" si="36"/>
        <v>1293.1685916570241</v>
      </c>
      <c r="G243" s="19"/>
      <c r="H243" s="19">
        <f t="shared" si="37"/>
        <v>0</v>
      </c>
      <c r="I243" s="19"/>
      <c r="J243" s="19">
        <f t="shared" si="38"/>
        <v>0</v>
      </c>
      <c r="K243" s="19">
        <f>K231*(1+$E$12)</f>
        <v>489272.72358731722</v>
      </c>
      <c r="L243" s="57">
        <f>J243+K243</f>
        <v>489272.72358731722</v>
      </c>
      <c r="M243" s="19"/>
      <c r="N243" s="19">
        <f t="shared" si="39"/>
        <v>1293.1685916570241</v>
      </c>
      <c r="O243" s="19"/>
      <c r="P243" s="19">
        <f t="shared" si="40"/>
        <v>290044.60100917902</v>
      </c>
      <c r="Q243" s="19">
        <f>Q231*(1+$E$7)</f>
        <v>701402.4212308405</v>
      </c>
      <c r="R243" s="19">
        <f>Q243-'Primary Residence Mortgage'!J244</f>
        <v>540742.92282571062</v>
      </c>
      <c r="S243" s="57">
        <f>P243+R243</f>
        <v>830787.52383488964</v>
      </c>
      <c r="T243" s="57"/>
    </row>
    <row r="244" spans="2:20">
      <c r="B244" s="98">
        <v>20</v>
      </c>
      <c r="C244">
        <v>229</v>
      </c>
      <c r="D244" s="19">
        <f>D243*(1+$E$10)</f>
        <v>3596.9629177106226</v>
      </c>
      <c r="E244" s="19">
        <f t="shared" si="42"/>
        <v>2216.0635231826082</v>
      </c>
      <c r="F244" s="19">
        <f t="shared" si="36"/>
        <v>1380.8993945280145</v>
      </c>
      <c r="G244" s="19"/>
      <c r="H244" s="19">
        <f t="shared" si="37"/>
        <v>0</v>
      </c>
      <c r="I244" s="19"/>
      <c r="J244" s="19">
        <f t="shared" si="38"/>
        <v>0</v>
      </c>
      <c r="M244" s="19"/>
      <c r="N244" s="19">
        <f t="shared" si="39"/>
        <v>1380.8993945280145</v>
      </c>
      <c r="O244" s="19"/>
      <c r="P244" s="19">
        <f t="shared" si="40"/>
        <v>293854.0462404046</v>
      </c>
      <c r="Q244" s="19"/>
    </row>
    <row r="245" spans="2:20">
      <c r="B245" s="98"/>
      <c r="C245">
        <v>230</v>
      </c>
      <c r="D245" s="19">
        <f>D244</f>
        <v>3596.9629177106226</v>
      </c>
      <c r="E245" s="19">
        <f t="shared" si="42"/>
        <v>2216.0635231826082</v>
      </c>
      <c r="F245" s="19">
        <f t="shared" si="36"/>
        <v>1380.8993945280145</v>
      </c>
      <c r="G245" s="19"/>
      <c r="H245" s="19">
        <f t="shared" si="37"/>
        <v>0</v>
      </c>
      <c r="I245" s="19"/>
      <c r="J245" s="19">
        <f t="shared" si="38"/>
        <v>0</v>
      </c>
      <c r="M245" s="19"/>
      <c r="N245" s="19">
        <f t="shared" si="39"/>
        <v>1380.8993945280145</v>
      </c>
      <c r="O245" s="19"/>
      <c r="P245" s="19">
        <f t="shared" si="40"/>
        <v>297695.23684855702</v>
      </c>
      <c r="Q245" s="19"/>
    </row>
    <row r="246" spans="2:20">
      <c r="B246" s="98"/>
      <c r="C246">
        <v>231</v>
      </c>
      <c r="D246" s="19">
        <f t="shared" ref="D246:D255" si="45">D245</f>
        <v>3596.9629177106226</v>
      </c>
      <c r="E246" s="19">
        <f t="shared" si="42"/>
        <v>2216.0635231826082</v>
      </c>
      <c r="F246" s="19">
        <f t="shared" si="36"/>
        <v>1380.8993945280145</v>
      </c>
      <c r="G246" s="19"/>
      <c r="H246" s="19">
        <f t="shared" si="37"/>
        <v>0</v>
      </c>
      <c r="I246" s="19"/>
      <c r="J246" s="19">
        <f t="shared" si="38"/>
        <v>0</v>
      </c>
      <c r="M246" s="19"/>
      <c r="N246" s="19">
        <f t="shared" si="39"/>
        <v>1380.8993945280145</v>
      </c>
      <c r="O246" s="19"/>
      <c r="P246" s="19">
        <f t="shared" si="40"/>
        <v>301568.43737844407</v>
      </c>
      <c r="Q246" s="19"/>
    </row>
    <row r="247" spans="2:20">
      <c r="B247" s="98"/>
      <c r="C247">
        <v>232</v>
      </c>
      <c r="D247" s="19">
        <f t="shared" si="45"/>
        <v>3596.9629177106226</v>
      </c>
      <c r="E247" s="19">
        <f t="shared" si="42"/>
        <v>2216.0635231826082</v>
      </c>
      <c r="F247" s="19">
        <f t="shared" si="36"/>
        <v>1380.8993945280145</v>
      </c>
      <c r="G247" s="19"/>
      <c r="H247" s="19">
        <f t="shared" si="37"/>
        <v>0</v>
      </c>
      <c r="I247" s="19"/>
      <c r="J247" s="19">
        <f t="shared" si="38"/>
        <v>0</v>
      </c>
      <c r="M247" s="19"/>
      <c r="N247" s="19">
        <f t="shared" si="39"/>
        <v>1380.8993945280145</v>
      </c>
      <c r="O247" s="19"/>
      <c r="P247" s="19">
        <f t="shared" si="40"/>
        <v>305473.91457941348</v>
      </c>
      <c r="Q247" s="19"/>
    </row>
    <row r="248" spans="2:20">
      <c r="B248" s="98"/>
      <c r="C248">
        <v>233</v>
      </c>
      <c r="D248" s="19">
        <f t="shared" si="45"/>
        <v>3596.9629177106226</v>
      </c>
      <c r="E248" s="19">
        <f t="shared" si="42"/>
        <v>2216.0635231826082</v>
      </c>
      <c r="F248" s="19">
        <f t="shared" si="36"/>
        <v>1380.8993945280145</v>
      </c>
      <c r="G248" s="19"/>
      <c r="H248" s="19">
        <f t="shared" si="37"/>
        <v>0</v>
      </c>
      <c r="I248" s="19"/>
      <c r="J248" s="19">
        <f t="shared" si="38"/>
        <v>0</v>
      </c>
      <c r="M248" s="19"/>
      <c r="N248" s="19">
        <f t="shared" si="39"/>
        <v>1380.8993945280145</v>
      </c>
      <c r="O248" s="19"/>
      <c r="P248" s="19">
        <f t="shared" si="40"/>
        <v>309411.93742372433</v>
      </c>
      <c r="Q248" s="19"/>
    </row>
    <row r="249" spans="2:20">
      <c r="B249" s="98"/>
      <c r="C249">
        <v>234</v>
      </c>
      <c r="D249" s="19">
        <f t="shared" si="45"/>
        <v>3596.9629177106226</v>
      </c>
      <c r="E249" s="19">
        <f t="shared" si="42"/>
        <v>2216.0635231826082</v>
      </c>
      <c r="F249" s="19">
        <f t="shared" si="36"/>
        <v>1380.8993945280145</v>
      </c>
      <c r="G249" s="19"/>
      <c r="H249" s="19">
        <f t="shared" si="37"/>
        <v>0</v>
      </c>
      <c r="I249" s="19"/>
      <c r="J249" s="19">
        <f t="shared" si="38"/>
        <v>0</v>
      </c>
      <c r="M249" s="19"/>
      <c r="N249" s="19">
        <f t="shared" si="39"/>
        <v>1380.8993945280145</v>
      </c>
      <c r="O249" s="19"/>
      <c r="P249" s="19">
        <f t="shared" si="40"/>
        <v>313382.77712507109</v>
      </c>
      <c r="Q249" s="19"/>
    </row>
    <row r="250" spans="2:20">
      <c r="B250" s="98"/>
      <c r="C250">
        <v>235</v>
      </c>
      <c r="D250" s="19">
        <f t="shared" si="45"/>
        <v>3596.9629177106226</v>
      </c>
      <c r="E250" s="19">
        <f t="shared" si="42"/>
        <v>2216.0635231826082</v>
      </c>
      <c r="F250" s="19">
        <f t="shared" si="36"/>
        <v>1380.8993945280145</v>
      </c>
      <c r="G250" s="19"/>
      <c r="H250" s="19">
        <f t="shared" si="37"/>
        <v>0</v>
      </c>
      <c r="I250" s="19"/>
      <c r="J250" s="19">
        <f t="shared" si="38"/>
        <v>0</v>
      </c>
      <c r="M250" s="19"/>
      <c r="N250" s="19">
        <f t="shared" si="39"/>
        <v>1380.8993945280145</v>
      </c>
      <c r="O250" s="19"/>
      <c r="P250" s="19">
        <f t="shared" si="40"/>
        <v>317386.70715726243</v>
      </c>
      <c r="Q250" s="19"/>
    </row>
    <row r="251" spans="2:20">
      <c r="B251" s="98"/>
      <c r="C251">
        <v>236</v>
      </c>
      <c r="D251" s="19">
        <f t="shared" si="45"/>
        <v>3596.9629177106226</v>
      </c>
      <c r="E251" s="19">
        <f t="shared" si="42"/>
        <v>2216.0635231826082</v>
      </c>
      <c r="F251" s="19">
        <f t="shared" si="36"/>
        <v>1380.8993945280145</v>
      </c>
      <c r="G251" s="19"/>
      <c r="H251" s="19">
        <f t="shared" si="37"/>
        <v>0</v>
      </c>
      <c r="I251" s="19"/>
      <c r="J251" s="19">
        <f t="shared" si="38"/>
        <v>0</v>
      </c>
      <c r="M251" s="19"/>
      <c r="N251" s="19">
        <f t="shared" si="39"/>
        <v>1380.8993945280145</v>
      </c>
      <c r="O251" s="19"/>
      <c r="P251" s="19">
        <f t="shared" si="40"/>
        <v>321424.00327305536</v>
      </c>
      <c r="Q251" s="19"/>
    </row>
    <row r="252" spans="2:20">
      <c r="B252" s="98"/>
      <c r="C252">
        <v>237</v>
      </c>
      <c r="D252" s="19">
        <f t="shared" si="45"/>
        <v>3596.9629177106226</v>
      </c>
      <c r="E252" s="19">
        <f t="shared" si="42"/>
        <v>2216.0635231826082</v>
      </c>
      <c r="F252" s="19">
        <f t="shared" si="36"/>
        <v>1380.8993945280145</v>
      </c>
      <c r="G252" s="19"/>
      <c r="H252" s="19">
        <f t="shared" si="37"/>
        <v>0</v>
      </c>
      <c r="I252" s="19"/>
      <c r="J252" s="19">
        <f t="shared" si="38"/>
        <v>0</v>
      </c>
      <c r="M252" s="19"/>
      <c r="N252" s="19">
        <f t="shared" si="39"/>
        <v>1380.8993945280145</v>
      </c>
      <c r="O252" s="19"/>
      <c r="P252" s="19">
        <f t="shared" si="40"/>
        <v>325494.94352314656</v>
      </c>
      <c r="Q252" s="19"/>
    </row>
    <row r="253" spans="2:20">
      <c r="B253" s="98"/>
      <c r="C253">
        <v>238</v>
      </c>
      <c r="D253" s="19">
        <f t="shared" si="45"/>
        <v>3596.9629177106226</v>
      </c>
      <c r="E253" s="19">
        <f t="shared" si="42"/>
        <v>2216.0635231826082</v>
      </c>
      <c r="F253" s="19">
        <f t="shared" si="36"/>
        <v>1380.8993945280145</v>
      </c>
      <c r="G253" s="19"/>
      <c r="H253" s="19">
        <f t="shared" si="37"/>
        <v>0</v>
      </c>
      <c r="I253" s="19"/>
      <c r="J253" s="19">
        <f t="shared" si="38"/>
        <v>0</v>
      </c>
      <c r="M253" s="19"/>
      <c r="N253" s="19">
        <f t="shared" si="39"/>
        <v>1380.8993945280145</v>
      </c>
      <c r="O253" s="19"/>
      <c r="P253" s="19">
        <f t="shared" si="40"/>
        <v>329599.80827532185</v>
      </c>
      <c r="Q253" s="19"/>
    </row>
    <row r="254" spans="2:20">
      <c r="B254" s="98"/>
      <c r="C254">
        <v>239</v>
      </c>
      <c r="D254" s="19">
        <f t="shared" si="45"/>
        <v>3596.9629177106226</v>
      </c>
      <c r="E254" s="19">
        <f t="shared" si="42"/>
        <v>2216.0635231826082</v>
      </c>
      <c r="F254" s="19">
        <f t="shared" si="36"/>
        <v>1380.8993945280145</v>
      </c>
      <c r="G254" s="19"/>
      <c r="H254" s="19">
        <f t="shared" si="37"/>
        <v>0</v>
      </c>
      <c r="I254" s="19"/>
      <c r="J254" s="19">
        <f t="shared" si="38"/>
        <v>0</v>
      </c>
      <c r="M254" s="19"/>
      <c r="N254" s="19">
        <f t="shared" si="39"/>
        <v>1380.8993945280145</v>
      </c>
      <c r="O254" s="19"/>
      <c r="P254" s="19">
        <f t="shared" si="40"/>
        <v>333738.88023376529</v>
      </c>
      <c r="Q254" s="19"/>
    </row>
    <row r="255" spans="2:20">
      <c r="B255" s="98"/>
      <c r="C255">
        <v>240</v>
      </c>
      <c r="D255" s="19">
        <f t="shared" si="45"/>
        <v>3596.9629177106226</v>
      </c>
      <c r="E255" s="19">
        <f t="shared" si="42"/>
        <v>2216.0635231826082</v>
      </c>
      <c r="F255" s="19">
        <f t="shared" si="36"/>
        <v>1380.8993945280145</v>
      </c>
      <c r="G255" s="19"/>
      <c r="H255" s="19">
        <f t="shared" si="37"/>
        <v>0</v>
      </c>
      <c r="I255" s="19"/>
      <c r="J255" s="19">
        <f t="shared" si="38"/>
        <v>0</v>
      </c>
      <c r="K255" s="19">
        <f>K243*(1+$E$12)</f>
        <v>538199.99594604899</v>
      </c>
      <c r="L255" s="57">
        <f>J255+K255</f>
        <v>538199.99594604899</v>
      </c>
      <c r="M255" s="19"/>
      <c r="N255" s="19">
        <f t="shared" si="39"/>
        <v>1380.8993945280145</v>
      </c>
      <c r="O255" s="19"/>
      <c r="P255" s="19">
        <f t="shared" si="40"/>
        <v>337912.44445852906</v>
      </c>
      <c r="Q255" s="19">
        <f>Q243*(1+$E$7)</f>
        <v>722444.49386776576</v>
      </c>
      <c r="R255" s="19">
        <f>Q255-'Primary Residence Mortgage'!J256</f>
        <v>573780.18186696875</v>
      </c>
      <c r="S255" s="57">
        <f>P255+R255</f>
        <v>911692.62632549787</v>
      </c>
      <c r="T255" s="57"/>
    </row>
    <row r="256" spans="2:20">
      <c r="B256" s="98">
        <v>21</v>
      </c>
      <c r="C256">
        <v>241</v>
      </c>
      <c r="D256" s="19">
        <f>D255*(1+$E$10)</f>
        <v>3686.8869906533878</v>
      </c>
      <c r="E256" s="19">
        <f t="shared" si="42"/>
        <v>2216.0635231826082</v>
      </c>
      <c r="F256" s="19">
        <f t="shared" si="36"/>
        <v>1470.8234674707796</v>
      </c>
      <c r="G256" s="19"/>
      <c r="H256" s="19">
        <f t="shared" si="37"/>
        <v>0</v>
      </c>
      <c r="I256" s="19"/>
      <c r="J256" s="19">
        <f t="shared" si="38"/>
        <v>0</v>
      </c>
      <c r="M256" s="19"/>
      <c r="N256" s="19">
        <f t="shared" si="39"/>
        <v>1470.8234674707796</v>
      </c>
      <c r="O256" s="19"/>
      <c r="P256" s="19">
        <f t="shared" si="40"/>
        <v>342211.46182538313</v>
      </c>
      <c r="Q256" s="19"/>
    </row>
    <row r="257" spans="2:20">
      <c r="B257" s="98"/>
      <c r="C257">
        <v>242</v>
      </c>
      <c r="D257" s="19">
        <f>D256</f>
        <v>3686.8869906533878</v>
      </c>
      <c r="E257" s="19">
        <f t="shared" si="42"/>
        <v>2216.0635231826082</v>
      </c>
      <c r="F257" s="19">
        <f t="shared" si="36"/>
        <v>1470.8234674707796</v>
      </c>
      <c r="G257" s="19"/>
      <c r="H257" s="19">
        <f t="shared" si="37"/>
        <v>0</v>
      </c>
      <c r="I257" s="19"/>
      <c r="J257" s="19">
        <f t="shared" si="38"/>
        <v>0</v>
      </c>
      <c r="M257" s="19"/>
      <c r="N257" s="19">
        <f t="shared" si="39"/>
        <v>1470.8234674707796</v>
      </c>
      <c r="O257" s="19"/>
      <c r="P257" s="19">
        <f t="shared" si="40"/>
        <v>346546.30433696101</v>
      </c>
      <c r="Q257" s="19"/>
    </row>
    <row r="258" spans="2:20">
      <c r="B258" s="98"/>
      <c r="C258">
        <v>243</v>
      </c>
      <c r="D258" s="19">
        <f t="shared" ref="D258:D267" si="46">D257</f>
        <v>3686.8869906533878</v>
      </c>
      <c r="E258" s="19">
        <f t="shared" si="42"/>
        <v>2216.0635231826082</v>
      </c>
      <c r="F258" s="19">
        <f t="shared" si="36"/>
        <v>1470.8234674707796</v>
      </c>
      <c r="G258" s="19"/>
      <c r="H258" s="19">
        <f t="shared" si="37"/>
        <v>0</v>
      </c>
      <c r="I258" s="19"/>
      <c r="J258" s="19">
        <f t="shared" si="38"/>
        <v>0</v>
      </c>
      <c r="M258" s="19"/>
      <c r="N258" s="19">
        <f t="shared" si="39"/>
        <v>1470.8234674707796</v>
      </c>
      <c r="O258" s="19"/>
      <c r="P258" s="19">
        <f t="shared" si="40"/>
        <v>350917.27053613536</v>
      </c>
      <c r="Q258" s="19"/>
    </row>
    <row r="259" spans="2:20">
      <c r="B259" s="98"/>
      <c r="C259">
        <v>244</v>
      </c>
      <c r="D259" s="19">
        <f t="shared" si="46"/>
        <v>3686.8869906533878</v>
      </c>
      <c r="E259" s="19">
        <f t="shared" si="42"/>
        <v>2216.0635231826082</v>
      </c>
      <c r="F259" s="19">
        <f t="shared" si="36"/>
        <v>1470.8234674707796</v>
      </c>
      <c r="G259" s="19"/>
      <c r="H259" s="19">
        <f t="shared" si="37"/>
        <v>0</v>
      </c>
      <c r="I259" s="19"/>
      <c r="J259" s="19">
        <f t="shared" si="38"/>
        <v>0</v>
      </c>
      <c r="M259" s="19"/>
      <c r="N259" s="19">
        <f t="shared" si="39"/>
        <v>1470.8234674707796</v>
      </c>
      <c r="O259" s="19"/>
      <c r="P259" s="19">
        <f t="shared" si="40"/>
        <v>355324.66145363619</v>
      </c>
      <c r="Q259" s="19"/>
    </row>
    <row r="260" spans="2:20">
      <c r="B260" s="98"/>
      <c r="C260">
        <v>245</v>
      </c>
      <c r="D260" s="19">
        <f t="shared" si="46"/>
        <v>3686.8869906533878</v>
      </c>
      <c r="E260" s="19">
        <f t="shared" si="42"/>
        <v>2216.0635231826082</v>
      </c>
      <c r="F260" s="19">
        <f t="shared" si="36"/>
        <v>1470.8234674707796</v>
      </c>
      <c r="G260" s="19"/>
      <c r="H260" s="19">
        <f t="shared" si="37"/>
        <v>0</v>
      </c>
      <c r="I260" s="19"/>
      <c r="J260" s="19">
        <f t="shared" si="38"/>
        <v>0</v>
      </c>
      <c r="M260" s="19"/>
      <c r="N260" s="19">
        <f t="shared" si="39"/>
        <v>1470.8234674707796</v>
      </c>
      <c r="O260" s="19"/>
      <c r="P260" s="19">
        <f t="shared" si="40"/>
        <v>359768.78062878281</v>
      </c>
      <c r="Q260" s="19"/>
    </row>
    <row r="261" spans="2:20">
      <c r="B261" s="98"/>
      <c r="C261">
        <v>246</v>
      </c>
      <c r="D261" s="19">
        <f t="shared" si="46"/>
        <v>3686.8869906533878</v>
      </c>
      <c r="E261" s="19">
        <f t="shared" si="42"/>
        <v>2216.0635231826082</v>
      </c>
      <c r="F261" s="19">
        <f t="shared" si="36"/>
        <v>1470.8234674707796</v>
      </c>
      <c r="G261" s="19"/>
      <c r="H261" s="19">
        <f t="shared" si="37"/>
        <v>0</v>
      </c>
      <c r="I261" s="19"/>
      <c r="J261" s="19">
        <f t="shared" si="38"/>
        <v>0</v>
      </c>
      <c r="M261" s="19"/>
      <c r="N261" s="19">
        <f t="shared" si="39"/>
        <v>1470.8234674707796</v>
      </c>
      <c r="O261" s="19"/>
      <c r="P261" s="19">
        <f t="shared" si="40"/>
        <v>364249.93413038901</v>
      </c>
      <c r="Q261" s="19"/>
    </row>
    <row r="262" spans="2:20">
      <c r="B262" s="98"/>
      <c r="C262">
        <v>247</v>
      </c>
      <c r="D262" s="19">
        <f t="shared" si="46"/>
        <v>3686.8869906533878</v>
      </c>
      <c r="E262" s="19">
        <f t="shared" si="42"/>
        <v>2216.0635231826082</v>
      </c>
      <c r="F262" s="19">
        <f t="shared" si="36"/>
        <v>1470.8234674707796</v>
      </c>
      <c r="G262" s="19"/>
      <c r="H262" s="19">
        <f t="shared" si="37"/>
        <v>0</v>
      </c>
      <c r="I262" s="19"/>
      <c r="J262" s="19">
        <f t="shared" si="38"/>
        <v>0</v>
      </c>
      <c r="M262" s="19"/>
      <c r="N262" s="19">
        <f t="shared" si="39"/>
        <v>1470.8234674707796</v>
      </c>
      <c r="O262" s="19"/>
      <c r="P262" s="19">
        <f t="shared" si="40"/>
        <v>368768.43057784194</v>
      </c>
      <c r="Q262" s="19"/>
    </row>
    <row r="263" spans="2:20">
      <c r="B263" s="98"/>
      <c r="C263">
        <v>248</v>
      </c>
      <c r="D263" s="19">
        <f t="shared" si="46"/>
        <v>3686.8869906533878</v>
      </c>
      <c r="E263" s="19">
        <f t="shared" si="42"/>
        <v>2216.0635231826082</v>
      </c>
      <c r="F263" s="19">
        <f t="shared" si="36"/>
        <v>1470.8234674707796</v>
      </c>
      <c r="G263" s="19"/>
      <c r="H263" s="19">
        <f t="shared" si="37"/>
        <v>0</v>
      </c>
      <c r="I263" s="19"/>
      <c r="J263" s="19">
        <f t="shared" si="38"/>
        <v>0</v>
      </c>
      <c r="M263" s="19"/>
      <c r="N263" s="19">
        <f t="shared" si="39"/>
        <v>1470.8234674707796</v>
      </c>
      <c r="O263" s="19"/>
      <c r="P263" s="19">
        <f t="shared" si="40"/>
        <v>373324.58116235695</v>
      </c>
      <c r="Q263" s="19"/>
    </row>
    <row r="264" spans="2:20">
      <c r="B264" s="98"/>
      <c r="C264">
        <v>249</v>
      </c>
      <c r="D264" s="19">
        <f t="shared" si="46"/>
        <v>3686.8869906533878</v>
      </c>
      <c r="E264" s="19">
        <f t="shared" si="42"/>
        <v>2216.0635231826082</v>
      </c>
      <c r="F264" s="19">
        <f t="shared" si="36"/>
        <v>1470.8234674707796</v>
      </c>
      <c r="G264" s="19"/>
      <c r="H264" s="19">
        <f t="shared" si="37"/>
        <v>0</v>
      </c>
      <c r="I264" s="19"/>
      <c r="J264" s="19">
        <f t="shared" si="38"/>
        <v>0</v>
      </c>
      <c r="M264" s="19"/>
      <c r="N264" s="19">
        <f t="shared" si="39"/>
        <v>1470.8234674707796</v>
      </c>
      <c r="O264" s="19"/>
      <c r="P264" s="19">
        <f t="shared" si="40"/>
        <v>377918.69966840959</v>
      </c>
      <c r="Q264" s="19"/>
    </row>
    <row r="265" spans="2:20">
      <c r="B265" s="98"/>
      <c r="C265">
        <v>250</v>
      </c>
      <c r="D265" s="19">
        <f t="shared" si="46"/>
        <v>3686.8869906533878</v>
      </c>
      <c r="E265" s="19">
        <f t="shared" si="42"/>
        <v>2216.0635231826082</v>
      </c>
      <c r="F265" s="19">
        <f t="shared" si="36"/>
        <v>1470.8234674707796</v>
      </c>
      <c r="G265" s="19"/>
      <c r="H265" s="19">
        <f t="shared" si="37"/>
        <v>0</v>
      </c>
      <c r="I265" s="19"/>
      <c r="J265" s="19">
        <f t="shared" si="38"/>
        <v>0</v>
      </c>
      <c r="M265" s="19"/>
      <c r="N265" s="19">
        <f t="shared" si="39"/>
        <v>1470.8234674707796</v>
      </c>
      <c r="O265" s="19"/>
      <c r="P265" s="19">
        <f t="shared" si="40"/>
        <v>382551.10249534604</v>
      </c>
      <c r="Q265" s="19"/>
    </row>
    <row r="266" spans="2:20">
      <c r="B266" s="98"/>
      <c r="C266">
        <v>251</v>
      </c>
      <c r="D266" s="19">
        <f t="shared" si="46"/>
        <v>3686.8869906533878</v>
      </c>
      <c r="E266" s="19">
        <f t="shared" si="42"/>
        <v>2216.0635231826082</v>
      </c>
      <c r="F266" s="19">
        <f t="shared" si="36"/>
        <v>1470.8234674707796</v>
      </c>
      <c r="G266" s="19"/>
      <c r="H266" s="19">
        <f t="shared" si="37"/>
        <v>0</v>
      </c>
      <c r="I266" s="19"/>
      <c r="J266" s="19">
        <f t="shared" si="38"/>
        <v>0</v>
      </c>
      <c r="M266" s="19"/>
      <c r="N266" s="19">
        <f t="shared" si="39"/>
        <v>1470.8234674707796</v>
      </c>
      <c r="O266" s="19"/>
      <c r="P266" s="19">
        <f t="shared" si="40"/>
        <v>387222.10867917363</v>
      </c>
      <c r="Q266" s="19"/>
    </row>
    <row r="267" spans="2:20">
      <c r="B267" s="98"/>
      <c r="C267">
        <v>252</v>
      </c>
      <c r="D267" s="19">
        <f t="shared" si="46"/>
        <v>3686.8869906533878</v>
      </c>
      <c r="E267" s="19">
        <f t="shared" si="42"/>
        <v>2216.0635231826082</v>
      </c>
      <c r="F267" s="19">
        <f t="shared" si="36"/>
        <v>1470.8234674707796</v>
      </c>
      <c r="G267" s="19"/>
      <c r="H267" s="19">
        <f t="shared" si="37"/>
        <v>0</v>
      </c>
      <c r="I267" s="19"/>
      <c r="J267" s="19">
        <f t="shared" si="38"/>
        <v>0</v>
      </c>
      <c r="K267" s="19">
        <f>K255*(1+$E$12)</f>
        <v>592019.99554065394</v>
      </c>
      <c r="L267" s="57">
        <f>J267+K267</f>
        <v>592019.99554065394</v>
      </c>
      <c r="M267" s="19"/>
      <c r="N267" s="19">
        <f t="shared" si="39"/>
        <v>1470.8234674707796</v>
      </c>
      <c r="O267" s="19"/>
      <c r="P267" s="19">
        <f t="shared" si="40"/>
        <v>391932.03991453309</v>
      </c>
      <c r="Q267" s="19">
        <f>Q255*(1+$E$7)</f>
        <v>744117.82868379878</v>
      </c>
      <c r="R267" s="19">
        <f>Q267-'Primary Residence Mortgage'!J268</f>
        <v>607912.54338359693</v>
      </c>
      <c r="S267" s="57">
        <f>P267+R267</f>
        <v>999844.58329812996</v>
      </c>
      <c r="T267" s="57"/>
    </row>
    <row r="268" spans="2:20">
      <c r="B268" s="98">
        <v>22</v>
      </c>
      <c r="C268">
        <v>253</v>
      </c>
      <c r="D268" s="19">
        <f>D267*(1+$E$10)</f>
        <v>3779.0591654197224</v>
      </c>
      <c r="E268" s="19">
        <f t="shared" si="42"/>
        <v>2216.0635231826082</v>
      </c>
      <c r="F268" s="19">
        <f t="shared" si="36"/>
        <v>1562.9956422371142</v>
      </c>
      <c r="G268" s="19"/>
      <c r="H268" s="19">
        <f t="shared" si="37"/>
        <v>0</v>
      </c>
      <c r="I268" s="19"/>
      <c r="J268" s="19">
        <f t="shared" si="38"/>
        <v>0</v>
      </c>
      <c r="M268" s="19"/>
      <c r="N268" s="19">
        <f t="shared" si="39"/>
        <v>1562.9956422371142</v>
      </c>
      <c r="O268" s="19"/>
      <c r="P268" s="19">
        <f t="shared" si="40"/>
        <v>396774.16085307661</v>
      </c>
      <c r="Q268" s="19"/>
    </row>
    <row r="269" spans="2:20">
      <c r="B269" s="98"/>
      <c r="C269">
        <v>254</v>
      </c>
      <c r="D269" s="19">
        <f>D268</f>
        <v>3779.0591654197224</v>
      </c>
      <c r="E269" s="19">
        <f t="shared" si="42"/>
        <v>2216.0635231826082</v>
      </c>
      <c r="F269" s="19">
        <f t="shared" si="36"/>
        <v>1562.9956422371142</v>
      </c>
      <c r="G269" s="19"/>
      <c r="H269" s="19">
        <f t="shared" si="37"/>
        <v>0</v>
      </c>
      <c r="I269" s="19"/>
      <c r="J269" s="19">
        <f t="shared" si="38"/>
        <v>0</v>
      </c>
      <c r="M269" s="19"/>
      <c r="N269" s="19">
        <f t="shared" si="39"/>
        <v>1562.9956422371142</v>
      </c>
      <c r="O269" s="19"/>
      <c r="P269" s="19">
        <f t="shared" si="40"/>
        <v>401656.63279944134</v>
      </c>
      <c r="Q269" s="19"/>
    </row>
    <row r="270" spans="2:20">
      <c r="B270" s="98"/>
      <c r="C270">
        <v>255</v>
      </c>
      <c r="D270" s="19">
        <f t="shared" ref="D270:D279" si="47">D269</f>
        <v>3779.0591654197224</v>
      </c>
      <c r="E270" s="19">
        <f t="shared" si="42"/>
        <v>2216.0635231826082</v>
      </c>
      <c r="F270" s="19">
        <f t="shared" si="36"/>
        <v>1562.9956422371142</v>
      </c>
      <c r="G270" s="19"/>
      <c r="H270" s="19">
        <f t="shared" si="37"/>
        <v>0</v>
      </c>
      <c r="I270" s="19"/>
      <c r="J270" s="19">
        <f t="shared" si="38"/>
        <v>0</v>
      </c>
      <c r="M270" s="19"/>
      <c r="N270" s="19">
        <f t="shared" si="39"/>
        <v>1562.9956422371142</v>
      </c>
      <c r="O270" s="19"/>
      <c r="P270" s="19">
        <f t="shared" si="40"/>
        <v>406579.79201202578</v>
      </c>
      <c r="Q270" s="19"/>
    </row>
    <row r="271" spans="2:20">
      <c r="B271" s="98"/>
      <c r="C271">
        <v>256</v>
      </c>
      <c r="D271" s="19">
        <f t="shared" si="47"/>
        <v>3779.0591654197224</v>
      </c>
      <c r="E271" s="19">
        <f t="shared" si="42"/>
        <v>2216.0635231826082</v>
      </c>
      <c r="F271" s="19">
        <f t="shared" si="36"/>
        <v>1562.9956422371142</v>
      </c>
      <c r="G271" s="19"/>
      <c r="H271" s="19">
        <f t="shared" si="37"/>
        <v>0</v>
      </c>
      <c r="I271" s="19"/>
      <c r="J271" s="19">
        <f t="shared" si="38"/>
        <v>0</v>
      </c>
      <c r="M271" s="19"/>
      <c r="N271" s="19">
        <f t="shared" si="39"/>
        <v>1562.9956422371142</v>
      </c>
      <c r="O271" s="19"/>
      <c r="P271" s="19">
        <f t="shared" si="40"/>
        <v>411543.97755138174</v>
      </c>
      <c r="Q271" s="19"/>
    </row>
    <row r="272" spans="2:20">
      <c r="B272" s="98"/>
      <c r="C272">
        <v>257</v>
      </c>
      <c r="D272" s="19">
        <f t="shared" si="47"/>
        <v>3779.0591654197224</v>
      </c>
      <c r="E272" s="19">
        <f t="shared" si="42"/>
        <v>2216.0635231826082</v>
      </c>
      <c r="F272" s="19">
        <f t="shared" si="36"/>
        <v>1562.9956422371142</v>
      </c>
      <c r="G272" s="19"/>
      <c r="H272" s="19">
        <f t="shared" si="37"/>
        <v>0</v>
      </c>
      <c r="I272" s="19"/>
      <c r="J272" s="19">
        <f t="shared" si="38"/>
        <v>0</v>
      </c>
      <c r="M272" s="19"/>
      <c r="N272" s="19">
        <f t="shared" si="39"/>
        <v>1562.9956422371142</v>
      </c>
      <c r="O272" s="19"/>
      <c r="P272" s="19">
        <f t="shared" si="40"/>
        <v>416549.53130356572</v>
      </c>
      <c r="Q272" s="19"/>
    </row>
    <row r="273" spans="2:20">
      <c r="B273" s="98"/>
      <c r="C273">
        <v>258</v>
      </c>
      <c r="D273" s="19">
        <f t="shared" si="47"/>
        <v>3779.0591654197224</v>
      </c>
      <c r="E273" s="19">
        <f t="shared" si="42"/>
        <v>2216.0635231826082</v>
      </c>
      <c r="F273" s="19">
        <f t="shared" ref="F273:F336" si="48">D273-E273</f>
        <v>1562.9956422371142</v>
      </c>
      <c r="G273" s="19"/>
      <c r="H273" s="19">
        <f t="shared" ref="H273:H336" si="49">IF(F273&lt;0,-F273,0)</f>
        <v>0</v>
      </c>
      <c r="I273" s="19"/>
      <c r="J273" s="19">
        <f t="shared" ref="J273:J336" si="50">(J272+H273)*(1+$E$12/12)</f>
        <v>0</v>
      </c>
      <c r="M273" s="19"/>
      <c r="N273" s="19">
        <f t="shared" ref="N273:N336" si="51">IF(F273&gt;0,F273,0)</f>
        <v>1562.9956422371142</v>
      </c>
      <c r="O273" s="19"/>
      <c r="P273" s="19">
        <f t="shared" ref="P273:P336" si="52">(P272+N273)*(1+$E$12/12)</f>
        <v>421596.79800368455</v>
      </c>
      <c r="Q273" s="19"/>
    </row>
    <row r="274" spans="2:20">
      <c r="B274" s="98"/>
      <c r="C274">
        <v>259</v>
      </c>
      <c r="D274" s="19">
        <f t="shared" si="47"/>
        <v>3779.0591654197224</v>
      </c>
      <c r="E274" s="19">
        <f t="shared" ref="E274:E337" si="53">E273</f>
        <v>2216.0635231826082</v>
      </c>
      <c r="F274" s="19">
        <f t="shared" si="48"/>
        <v>1562.9956422371142</v>
      </c>
      <c r="G274" s="19"/>
      <c r="H274" s="19">
        <f t="shared" si="49"/>
        <v>0</v>
      </c>
      <c r="I274" s="19"/>
      <c r="J274" s="19">
        <f t="shared" si="50"/>
        <v>0</v>
      </c>
      <c r="M274" s="19"/>
      <c r="N274" s="19">
        <f t="shared" si="51"/>
        <v>1562.9956422371142</v>
      </c>
      <c r="O274" s="19"/>
      <c r="P274" s="19">
        <f t="shared" si="52"/>
        <v>426686.12525963772</v>
      </c>
      <c r="Q274" s="19"/>
    </row>
    <row r="275" spans="2:20">
      <c r="B275" s="98"/>
      <c r="C275">
        <v>260</v>
      </c>
      <c r="D275" s="19">
        <f t="shared" si="47"/>
        <v>3779.0591654197224</v>
      </c>
      <c r="E275" s="19">
        <f t="shared" si="53"/>
        <v>2216.0635231826082</v>
      </c>
      <c r="F275" s="19">
        <f t="shared" si="48"/>
        <v>1562.9956422371142</v>
      </c>
      <c r="G275" s="19"/>
      <c r="H275" s="19">
        <f t="shared" si="49"/>
        <v>0</v>
      </c>
      <c r="I275" s="19"/>
      <c r="J275" s="19">
        <f t="shared" si="50"/>
        <v>0</v>
      </c>
      <c r="M275" s="19"/>
      <c r="N275" s="19">
        <f t="shared" si="51"/>
        <v>1562.9956422371142</v>
      </c>
      <c r="O275" s="19"/>
      <c r="P275" s="19">
        <f t="shared" si="52"/>
        <v>431817.86357605713</v>
      </c>
      <c r="Q275" s="19"/>
    </row>
    <row r="276" spans="2:20">
      <c r="B276" s="98"/>
      <c r="C276">
        <v>261</v>
      </c>
      <c r="D276" s="19">
        <f t="shared" si="47"/>
        <v>3779.0591654197224</v>
      </c>
      <c r="E276" s="19">
        <f t="shared" si="53"/>
        <v>2216.0635231826082</v>
      </c>
      <c r="F276" s="19">
        <f t="shared" si="48"/>
        <v>1562.9956422371142</v>
      </c>
      <c r="G276" s="19"/>
      <c r="H276" s="19">
        <f t="shared" si="49"/>
        <v>0</v>
      </c>
      <c r="I276" s="19"/>
      <c r="J276" s="19">
        <f t="shared" si="50"/>
        <v>0</v>
      </c>
      <c r="M276" s="19"/>
      <c r="N276" s="19">
        <f t="shared" si="51"/>
        <v>1562.9956422371142</v>
      </c>
      <c r="O276" s="19"/>
      <c r="P276" s="19">
        <f t="shared" si="52"/>
        <v>436992.36637844669</v>
      </c>
      <c r="Q276" s="19"/>
    </row>
    <row r="277" spans="2:20">
      <c r="B277" s="98"/>
      <c r="C277">
        <v>262</v>
      </c>
      <c r="D277" s="19">
        <f t="shared" si="47"/>
        <v>3779.0591654197224</v>
      </c>
      <c r="E277" s="19">
        <f t="shared" si="53"/>
        <v>2216.0635231826082</v>
      </c>
      <c r="F277" s="19">
        <f t="shared" si="48"/>
        <v>1562.9956422371142</v>
      </c>
      <c r="G277" s="19"/>
      <c r="H277" s="19">
        <f t="shared" si="49"/>
        <v>0</v>
      </c>
      <c r="I277" s="19"/>
      <c r="J277" s="19">
        <f t="shared" si="50"/>
        <v>0</v>
      </c>
      <c r="M277" s="19"/>
      <c r="N277" s="19">
        <f t="shared" si="51"/>
        <v>1562.9956422371142</v>
      </c>
      <c r="O277" s="19"/>
      <c r="P277" s="19">
        <f t="shared" si="52"/>
        <v>442209.99003752286</v>
      </c>
      <c r="Q277" s="19"/>
    </row>
    <row r="278" spans="2:20">
      <c r="B278" s="98"/>
      <c r="C278">
        <v>263</v>
      </c>
      <c r="D278" s="19">
        <f t="shared" si="47"/>
        <v>3779.0591654197224</v>
      </c>
      <c r="E278" s="19">
        <f t="shared" si="53"/>
        <v>2216.0635231826082</v>
      </c>
      <c r="F278" s="19">
        <f t="shared" si="48"/>
        <v>1562.9956422371142</v>
      </c>
      <c r="G278" s="19"/>
      <c r="H278" s="19">
        <f t="shared" si="49"/>
        <v>0</v>
      </c>
      <c r="I278" s="19"/>
      <c r="J278" s="19">
        <f t="shared" si="50"/>
        <v>0</v>
      </c>
      <c r="M278" s="19"/>
      <c r="N278" s="19">
        <f t="shared" si="51"/>
        <v>1562.9956422371142</v>
      </c>
      <c r="O278" s="19"/>
      <c r="P278" s="19">
        <f t="shared" si="52"/>
        <v>447471.09389375796</v>
      </c>
      <c r="Q278" s="19"/>
    </row>
    <row r="279" spans="2:20">
      <c r="B279" s="98"/>
      <c r="C279">
        <v>264</v>
      </c>
      <c r="D279" s="19">
        <f t="shared" si="47"/>
        <v>3779.0591654197224</v>
      </c>
      <c r="E279" s="19">
        <f t="shared" si="53"/>
        <v>2216.0635231826082</v>
      </c>
      <c r="F279" s="19">
        <f t="shared" si="48"/>
        <v>1562.9956422371142</v>
      </c>
      <c r="G279" s="19"/>
      <c r="H279" s="19">
        <f t="shared" si="49"/>
        <v>0</v>
      </c>
      <c r="I279" s="19"/>
      <c r="J279" s="19">
        <f t="shared" si="50"/>
        <v>0</v>
      </c>
      <c r="K279" s="19">
        <f>K267*(1+$E$12)</f>
        <v>651221.99509471934</v>
      </c>
      <c r="L279" s="57">
        <f>J279+K279</f>
        <v>651221.99509471934</v>
      </c>
      <c r="M279" s="19"/>
      <c r="N279" s="19">
        <f t="shared" si="51"/>
        <v>1562.9956422371142</v>
      </c>
      <c r="O279" s="19"/>
      <c r="P279" s="19">
        <f t="shared" si="52"/>
        <v>452776.04028212838</v>
      </c>
      <c r="Q279" s="19">
        <f>Q267*(1+$E$7)</f>
        <v>766441.36354431277</v>
      </c>
      <c r="R279" s="19">
        <f>Q279-'Primary Residence Mortgage'!J280</f>
        <v>643176.8814207979</v>
      </c>
      <c r="S279" s="57">
        <f>P279+R279</f>
        <v>1095952.9217029263</v>
      </c>
      <c r="T279" s="57"/>
    </row>
    <row r="280" spans="2:20">
      <c r="B280" s="98">
        <v>23</v>
      </c>
      <c r="C280">
        <v>265</v>
      </c>
      <c r="D280" s="19">
        <f>D279*(1+$E$10)</f>
        <v>3873.5356445552152</v>
      </c>
      <c r="E280" s="19">
        <f t="shared" si="53"/>
        <v>2216.0635231826082</v>
      </c>
      <c r="F280" s="19">
        <f t="shared" si="48"/>
        <v>1657.472121372607</v>
      </c>
      <c r="G280" s="19"/>
      <c r="H280" s="19">
        <f t="shared" si="49"/>
        <v>0</v>
      </c>
      <c r="I280" s="19"/>
      <c r="J280" s="19">
        <f t="shared" si="50"/>
        <v>0</v>
      </c>
      <c r="M280" s="19"/>
      <c r="N280" s="19">
        <f t="shared" si="51"/>
        <v>1657.472121372607</v>
      </c>
      <c r="O280" s="19"/>
      <c r="P280" s="19">
        <f t="shared" si="52"/>
        <v>458220.45834019681</v>
      </c>
      <c r="Q280" s="19"/>
    </row>
    <row r="281" spans="2:20">
      <c r="B281" s="98"/>
      <c r="C281">
        <v>266</v>
      </c>
      <c r="D281" s="19">
        <f>D280</f>
        <v>3873.5356445552152</v>
      </c>
      <c r="E281" s="19">
        <f t="shared" si="53"/>
        <v>2216.0635231826082</v>
      </c>
      <c r="F281" s="19">
        <f t="shared" si="48"/>
        <v>1657.472121372607</v>
      </c>
      <c r="G281" s="19"/>
      <c r="H281" s="19">
        <f t="shared" si="49"/>
        <v>0</v>
      </c>
      <c r="I281" s="19"/>
      <c r="J281" s="19">
        <f t="shared" si="50"/>
        <v>0</v>
      </c>
      <c r="M281" s="19"/>
      <c r="N281" s="19">
        <f t="shared" si="51"/>
        <v>1657.472121372607</v>
      </c>
      <c r="O281" s="19"/>
      <c r="P281" s="19">
        <f t="shared" si="52"/>
        <v>463710.24654874916</v>
      </c>
      <c r="Q281" s="19"/>
    </row>
    <row r="282" spans="2:20">
      <c r="B282" s="98"/>
      <c r="C282">
        <v>267</v>
      </c>
      <c r="D282" s="19">
        <f t="shared" ref="D282:D291" si="54">D281</f>
        <v>3873.5356445552152</v>
      </c>
      <c r="E282" s="19">
        <f t="shared" si="53"/>
        <v>2216.0635231826082</v>
      </c>
      <c r="F282" s="19">
        <f t="shared" si="48"/>
        <v>1657.472121372607</v>
      </c>
      <c r="G282" s="19"/>
      <c r="H282" s="19">
        <f t="shared" si="49"/>
        <v>0</v>
      </c>
      <c r="I282" s="19"/>
      <c r="J282" s="19">
        <f t="shared" si="50"/>
        <v>0</v>
      </c>
      <c r="M282" s="19"/>
      <c r="N282" s="19">
        <f t="shared" si="51"/>
        <v>1657.472121372607</v>
      </c>
      <c r="O282" s="19"/>
      <c r="P282" s="19">
        <f t="shared" si="52"/>
        <v>469245.78299237275</v>
      </c>
      <c r="Q282" s="19"/>
    </row>
    <row r="283" spans="2:20">
      <c r="B283" s="98"/>
      <c r="C283">
        <v>268</v>
      </c>
      <c r="D283" s="19">
        <f t="shared" si="54"/>
        <v>3873.5356445552152</v>
      </c>
      <c r="E283" s="19">
        <f t="shared" si="53"/>
        <v>2216.0635231826082</v>
      </c>
      <c r="F283" s="19">
        <f t="shared" si="48"/>
        <v>1657.472121372607</v>
      </c>
      <c r="G283" s="19"/>
      <c r="H283" s="19">
        <f t="shared" si="49"/>
        <v>0</v>
      </c>
      <c r="I283" s="19"/>
      <c r="J283" s="19">
        <f t="shared" si="50"/>
        <v>0</v>
      </c>
      <c r="M283" s="19"/>
      <c r="N283" s="19">
        <f t="shared" si="51"/>
        <v>1657.472121372607</v>
      </c>
      <c r="O283" s="19"/>
      <c r="P283" s="19">
        <f t="shared" si="52"/>
        <v>474827.44890635984</v>
      </c>
      <c r="Q283" s="19"/>
    </row>
    <row r="284" spans="2:20">
      <c r="B284" s="98"/>
      <c r="C284">
        <v>269</v>
      </c>
      <c r="D284" s="19">
        <f t="shared" si="54"/>
        <v>3873.5356445552152</v>
      </c>
      <c r="E284" s="19">
        <f t="shared" si="53"/>
        <v>2216.0635231826082</v>
      </c>
      <c r="F284" s="19">
        <f t="shared" si="48"/>
        <v>1657.472121372607</v>
      </c>
      <c r="G284" s="19"/>
      <c r="H284" s="19">
        <f t="shared" si="49"/>
        <v>0</v>
      </c>
      <c r="I284" s="19"/>
      <c r="J284" s="19">
        <f t="shared" si="50"/>
        <v>0</v>
      </c>
      <c r="M284" s="19"/>
      <c r="N284" s="19">
        <f t="shared" si="51"/>
        <v>1657.472121372607</v>
      </c>
      <c r="O284" s="19"/>
      <c r="P284" s="19">
        <f t="shared" si="52"/>
        <v>480455.62870296353</v>
      </c>
      <c r="Q284" s="19"/>
    </row>
    <row r="285" spans="2:20">
      <c r="B285" s="98"/>
      <c r="C285">
        <v>270</v>
      </c>
      <c r="D285" s="19">
        <f t="shared" si="54"/>
        <v>3873.5356445552152</v>
      </c>
      <c r="E285" s="19">
        <f t="shared" si="53"/>
        <v>2216.0635231826082</v>
      </c>
      <c r="F285" s="19">
        <f t="shared" si="48"/>
        <v>1657.472121372607</v>
      </c>
      <c r="G285" s="19"/>
      <c r="H285" s="19">
        <f t="shared" si="49"/>
        <v>0</v>
      </c>
      <c r="I285" s="19"/>
      <c r="J285" s="19">
        <f t="shared" si="50"/>
        <v>0</v>
      </c>
      <c r="M285" s="19"/>
      <c r="N285" s="19">
        <f t="shared" si="51"/>
        <v>1657.472121372607</v>
      </c>
      <c r="O285" s="19"/>
      <c r="P285" s="19">
        <f t="shared" si="52"/>
        <v>486130.70999787224</v>
      </c>
      <c r="Q285" s="19"/>
    </row>
    <row r="286" spans="2:20">
      <c r="B286" s="98"/>
      <c r="C286">
        <v>271</v>
      </c>
      <c r="D286" s="19">
        <f t="shared" si="54"/>
        <v>3873.5356445552152</v>
      </c>
      <c r="E286" s="19">
        <f t="shared" si="53"/>
        <v>2216.0635231826082</v>
      </c>
      <c r="F286" s="19">
        <f t="shared" si="48"/>
        <v>1657.472121372607</v>
      </c>
      <c r="G286" s="19"/>
      <c r="H286" s="19">
        <f t="shared" si="49"/>
        <v>0</v>
      </c>
      <c r="I286" s="19"/>
      <c r="J286" s="19">
        <f t="shared" si="50"/>
        <v>0</v>
      </c>
      <c r="M286" s="19"/>
      <c r="N286" s="19">
        <f t="shared" si="51"/>
        <v>1657.472121372607</v>
      </c>
      <c r="O286" s="19"/>
      <c r="P286" s="19">
        <f t="shared" si="52"/>
        <v>491853.08363690518</v>
      </c>
      <c r="Q286" s="19"/>
    </row>
    <row r="287" spans="2:20">
      <c r="B287" s="98"/>
      <c r="C287">
        <v>272</v>
      </c>
      <c r="D287" s="19">
        <f t="shared" si="54"/>
        <v>3873.5356445552152</v>
      </c>
      <c r="E287" s="19">
        <f t="shared" si="53"/>
        <v>2216.0635231826082</v>
      </c>
      <c r="F287" s="19">
        <f t="shared" si="48"/>
        <v>1657.472121372607</v>
      </c>
      <c r="G287" s="19"/>
      <c r="H287" s="19">
        <f t="shared" si="49"/>
        <v>0</v>
      </c>
      <c r="I287" s="19"/>
      <c r="J287" s="19">
        <f t="shared" si="50"/>
        <v>0</v>
      </c>
      <c r="M287" s="19"/>
      <c r="N287" s="19">
        <f t="shared" si="51"/>
        <v>1657.472121372607</v>
      </c>
      <c r="O287" s="19"/>
      <c r="P287" s="19">
        <f t="shared" si="52"/>
        <v>497623.14372293005</v>
      </c>
      <c r="Q287" s="19"/>
    </row>
    <row r="288" spans="2:20">
      <c r="B288" s="98"/>
      <c r="C288">
        <v>273</v>
      </c>
      <c r="D288" s="19">
        <f t="shared" si="54"/>
        <v>3873.5356445552152</v>
      </c>
      <c r="E288" s="19">
        <f t="shared" si="53"/>
        <v>2216.0635231826082</v>
      </c>
      <c r="F288" s="19">
        <f t="shared" si="48"/>
        <v>1657.472121372607</v>
      </c>
      <c r="G288" s="19"/>
      <c r="H288" s="19">
        <f t="shared" si="49"/>
        <v>0</v>
      </c>
      <c r="I288" s="19"/>
      <c r="J288" s="19">
        <f t="shared" si="50"/>
        <v>0</v>
      </c>
      <c r="M288" s="19"/>
      <c r="N288" s="19">
        <f t="shared" si="51"/>
        <v>1657.472121372607</v>
      </c>
      <c r="O288" s="19"/>
      <c r="P288" s="19">
        <f t="shared" si="52"/>
        <v>503441.28764300514</v>
      </c>
      <c r="Q288" s="19"/>
    </row>
    <row r="289" spans="2:20">
      <c r="B289" s="98"/>
      <c r="C289">
        <v>274</v>
      </c>
      <c r="D289" s="19">
        <f t="shared" si="54"/>
        <v>3873.5356445552152</v>
      </c>
      <c r="E289" s="19">
        <f t="shared" si="53"/>
        <v>2216.0635231826082</v>
      </c>
      <c r="F289" s="19">
        <f t="shared" si="48"/>
        <v>1657.472121372607</v>
      </c>
      <c r="G289" s="19"/>
      <c r="H289" s="19">
        <f t="shared" si="49"/>
        <v>0</v>
      </c>
      <c r="I289" s="19"/>
      <c r="J289" s="19">
        <f t="shared" si="50"/>
        <v>0</v>
      </c>
      <c r="M289" s="19"/>
      <c r="N289" s="19">
        <f t="shared" si="51"/>
        <v>1657.472121372607</v>
      </c>
      <c r="O289" s="19"/>
      <c r="P289" s="19">
        <f t="shared" si="52"/>
        <v>509307.91609574755</v>
      </c>
      <c r="Q289" s="19"/>
    </row>
    <row r="290" spans="2:20">
      <c r="B290" s="98"/>
      <c r="C290">
        <v>275</v>
      </c>
      <c r="D290" s="19">
        <f t="shared" si="54"/>
        <v>3873.5356445552152</v>
      </c>
      <c r="E290" s="19">
        <f t="shared" si="53"/>
        <v>2216.0635231826082</v>
      </c>
      <c r="F290" s="19">
        <f t="shared" si="48"/>
        <v>1657.472121372607</v>
      </c>
      <c r="G290" s="19"/>
      <c r="H290" s="19">
        <f t="shared" si="49"/>
        <v>0</v>
      </c>
      <c r="I290" s="19"/>
      <c r="J290" s="19">
        <f t="shared" si="50"/>
        <v>0</v>
      </c>
      <c r="M290" s="19"/>
      <c r="N290" s="19">
        <f t="shared" si="51"/>
        <v>1657.472121372607</v>
      </c>
      <c r="O290" s="19"/>
      <c r="P290" s="19">
        <f t="shared" si="52"/>
        <v>515223.43311892945</v>
      </c>
      <c r="Q290" s="19"/>
    </row>
    <row r="291" spans="2:20">
      <c r="B291" s="98"/>
      <c r="C291">
        <v>276</v>
      </c>
      <c r="D291" s="19">
        <f t="shared" si="54"/>
        <v>3873.5356445552152</v>
      </c>
      <c r="E291" s="19">
        <f t="shared" si="53"/>
        <v>2216.0635231826082</v>
      </c>
      <c r="F291" s="19">
        <f t="shared" si="48"/>
        <v>1657.472121372607</v>
      </c>
      <c r="G291" s="19"/>
      <c r="H291" s="19">
        <f t="shared" si="49"/>
        <v>0</v>
      </c>
      <c r="I291" s="19"/>
      <c r="J291" s="19">
        <f t="shared" si="50"/>
        <v>0</v>
      </c>
      <c r="K291" s="19">
        <f>K279*(1+$E$12)</f>
        <v>716344.19460419135</v>
      </c>
      <c r="L291" s="57">
        <f>J291+K291</f>
        <v>716344.19460419135</v>
      </c>
      <c r="M291" s="19"/>
      <c r="N291" s="19">
        <f t="shared" si="51"/>
        <v>1657.472121372607</v>
      </c>
      <c r="O291" s="19"/>
      <c r="P291" s="19">
        <f t="shared" si="52"/>
        <v>521188.24611730454</v>
      </c>
      <c r="Q291" s="19">
        <f>Q279*(1+$E$7)</f>
        <v>789434.60445064213</v>
      </c>
      <c r="R291" s="19">
        <f>Q291-'Primary Residence Mortgage'!J292</f>
        <v>679611.33173153049</v>
      </c>
      <c r="S291" s="57">
        <f>P291+R291</f>
        <v>1200799.5778488349</v>
      </c>
      <c r="T291" s="57"/>
    </row>
    <row r="292" spans="2:20">
      <c r="B292" s="98">
        <v>24</v>
      </c>
      <c r="C292">
        <v>277</v>
      </c>
      <c r="D292" s="19">
        <f>D291*(1+$E$10)</f>
        <v>3970.3740356690951</v>
      </c>
      <c r="E292" s="19">
        <f t="shared" si="53"/>
        <v>2216.0635231826082</v>
      </c>
      <c r="F292" s="19">
        <f t="shared" si="48"/>
        <v>1754.3105124864869</v>
      </c>
      <c r="G292" s="19"/>
      <c r="H292" s="19">
        <f t="shared" si="49"/>
        <v>0</v>
      </c>
      <c r="I292" s="19"/>
      <c r="J292" s="19">
        <f t="shared" si="50"/>
        <v>0</v>
      </c>
      <c r="M292" s="19"/>
      <c r="N292" s="19">
        <f t="shared" si="51"/>
        <v>1754.3105124864869</v>
      </c>
      <c r="O292" s="19"/>
      <c r="P292" s="19">
        <f t="shared" si="52"/>
        <v>527300.41126837267</v>
      </c>
      <c r="Q292" s="19"/>
    </row>
    <row r="293" spans="2:20">
      <c r="B293" s="98"/>
      <c r="C293">
        <v>278</v>
      </c>
      <c r="D293" s="19">
        <f>D292</f>
        <v>3970.3740356690951</v>
      </c>
      <c r="E293" s="19">
        <f t="shared" si="53"/>
        <v>2216.0635231826082</v>
      </c>
      <c r="F293" s="19">
        <f t="shared" si="48"/>
        <v>1754.3105124864869</v>
      </c>
      <c r="G293" s="19"/>
      <c r="H293" s="19">
        <f t="shared" si="49"/>
        <v>0</v>
      </c>
      <c r="I293" s="19"/>
      <c r="J293" s="19">
        <f t="shared" si="50"/>
        <v>0</v>
      </c>
      <c r="M293" s="19"/>
      <c r="N293" s="19">
        <f t="shared" si="51"/>
        <v>1754.3105124864869</v>
      </c>
      <c r="O293" s="19"/>
      <c r="P293" s="19">
        <f t="shared" si="52"/>
        <v>533463.51112903294</v>
      </c>
      <c r="Q293" s="19"/>
    </row>
    <row r="294" spans="2:20">
      <c r="B294" s="98"/>
      <c r="C294">
        <v>279</v>
      </c>
      <c r="D294" s="19">
        <f t="shared" ref="D294:D303" si="55">D293</f>
        <v>3970.3740356690951</v>
      </c>
      <c r="E294" s="19">
        <f t="shared" si="53"/>
        <v>2216.0635231826082</v>
      </c>
      <c r="F294" s="19">
        <f t="shared" si="48"/>
        <v>1754.3105124864869</v>
      </c>
      <c r="G294" s="19"/>
      <c r="H294" s="19">
        <f t="shared" si="49"/>
        <v>0</v>
      </c>
      <c r="I294" s="19"/>
      <c r="J294" s="19">
        <f t="shared" si="50"/>
        <v>0</v>
      </c>
      <c r="M294" s="19"/>
      <c r="N294" s="19">
        <f t="shared" si="51"/>
        <v>1754.3105124864869</v>
      </c>
      <c r="O294" s="19"/>
      <c r="P294" s="19">
        <f t="shared" si="52"/>
        <v>539677.97015519871</v>
      </c>
      <c r="Q294" s="19"/>
    </row>
    <row r="295" spans="2:20">
      <c r="B295" s="98"/>
      <c r="C295">
        <v>280</v>
      </c>
      <c r="D295" s="19">
        <f t="shared" si="55"/>
        <v>3970.3740356690951</v>
      </c>
      <c r="E295" s="19">
        <f t="shared" si="53"/>
        <v>2216.0635231826082</v>
      </c>
      <c r="F295" s="19">
        <f t="shared" si="48"/>
        <v>1754.3105124864869</v>
      </c>
      <c r="G295" s="19"/>
      <c r="H295" s="19">
        <f t="shared" si="49"/>
        <v>0</v>
      </c>
      <c r="I295" s="19"/>
      <c r="J295" s="19">
        <f t="shared" si="50"/>
        <v>0</v>
      </c>
      <c r="M295" s="19"/>
      <c r="N295" s="19">
        <f t="shared" si="51"/>
        <v>1754.3105124864869</v>
      </c>
      <c r="O295" s="19"/>
      <c r="P295" s="19">
        <f t="shared" si="52"/>
        <v>545944.21633991587</v>
      </c>
      <c r="Q295" s="19"/>
    </row>
    <row r="296" spans="2:20">
      <c r="B296" s="98"/>
      <c r="C296">
        <v>281</v>
      </c>
      <c r="D296" s="19">
        <f t="shared" si="55"/>
        <v>3970.3740356690951</v>
      </c>
      <c r="E296" s="19">
        <f t="shared" si="53"/>
        <v>2216.0635231826082</v>
      </c>
      <c r="F296" s="19">
        <f t="shared" si="48"/>
        <v>1754.3105124864869</v>
      </c>
      <c r="G296" s="19"/>
      <c r="H296" s="19">
        <f t="shared" si="49"/>
        <v>0</v>
      </c>
      <c r="I296" s="19"/>
      <c r="J296" s="19">
        <f t="shared" si="50"/>
        <v>0</v>
      </c>
      <c r="M296" s="19"/>
      <c r="N296" s="19">
        <f t="shared" si="51"/>
        <v>1754.3105124864869</v>
      </c>
      <c r="O296" s="19"/>
      <c r="P296" s="19">
        <f t="shared" si="52"/>
        <v>552262.68124283908</v>
      </c>
      <c r="Q296" s="19"/>
    </row>
    <row r="297" spans="2:20">
      <c r="B297" s="98"/>
      <c r="C297">
        <v>282</v>
      </c>
      <c r="D297" s="19">
        <f t="shared" si="55"/>
        <v>3970.3740356690951</v>
      </c>
      <c r="E297" s="19">
        <f t="shared" si="53"/>
        <v>2216.0635231826082</v>
      </c>
      <c r="F297" s="19">
        <f t="shared" si="48"/>
        <v>1754.3105124864869</v>
      </c>
      <c r="G297" s="19"/>
      <c r="H297" s="19">
        <f t="shared" si="49"/>
        <v>0</v>
      </c>
      <c r="I297" s="19"/>
      <c r="J297" s="19">
        <f t="shared" si="50"/>
        <v>0</v>
      </c>
      <c r="M297" s="19"/>
      <c r="N297" s="19">
        <f t="shared" si="51"/>
        <v>1754.3105124864869</v>
      </c>
      <c r="O297" s="19"/>
      <c r="P297" s="19">
        <f t="shared" si="52"/>
        <v>558633.80001995328</v>
      </c>
      <c r="Q297" s="19"/>
    </row>
    <row r="298" spans="2:20">
      <c r="B298" s="98"/>
      <c r="C298">
        <v>283</v>
      </c>
      <c r="D298" s="19">
        <f t="shared" si="55"/>
        <v>3970.3740356690951</v>
      </c>
      <c r="E298" s="19">
        <f t="shared" si="53"/>
        <v>2216.0635231826082</v>
      </c>
      <c r="F298" s="19">
        <f t="shared" si="48"/>
        <v>1754.3105124864869</v>
      </c>
      <c r="G298" s="19"/>
      <c r="H298" s="19">
        <f t="shared" si="49"/>
        <v>0</v>
      </c>
      <c r="I298" s="19"/>
      <c r="J298" s="19">
        <f t="shared" si="50"/>
        <v>0</v>
      </c>
      <c r="M298" s="19"/>
      <c r="N298" s="19">
        <f t="shared" si="51"/>
        <v>1754.3105124864869</v>
      </c>
      <c r="O298" s="19"/>
      <c r="P298" s="19">
        <f t="shared" si="52"/>
        <v>565058.01145354344</v>
      </c>
      <c r="Q298" s="19"/>
    </row>
    <row r="299" spans="2:20">
      <c r="B299" s="98"/>
      <c r="C299">
        <v>284</v>
      </c>
      <c r="D299" s="19">
        <f t="shared" si="55"/>
        <v>3970.3740356690951</v>
      </c>
      <c r="E299" s="19">
        <f t="shared" si="53"/>
        <v>2216.0635231826082</v>
      </c>
      <c r="F299" s="19">
        <f t="shared" si="48"/>
        <v>1754.3105124864869</v>
      </c>
      <c r="G299" s="19"/>
      <c r="H299" s="19">
        <f t="shared" si="49"/>
        <v>0</v>
      </c>
      <c r="I299" s="19"/>
      <c r="J299" s="19">
        <f t="shared" si="50"/>
        <v>0</v>
      </c>
      <c r="M299" s="19"/>
      <c r="N299" s="19">
        <f t="shared" si="51"/>
        <v>1754.3105124864869</v>
      </c>
      <c r="O299" s="19"/>
      <c r="P299" s="19">
        <f t="shared" si="52"/>
        <v>571535.75798241352</v>
      </c>
      <c r="Q299" s="19"/>
    </row>
    <row r="300" spans="2:20">
      <c r="B300" s="98"/>
      <c r="C300">
        <v>285</v>
      </c>
      <c r="D300" s="19">
        <f t="shared" si="55"/>
        <v>3970.3740356690951</v>
      </c>
      <c r="E300" s="19">
        <f t="shared" si="53"/>
        <v>2216.0635231826082</v>
      </c>
      <c r="F300" s="19">
        <f t="shared" si="48"/>
        <v>1754.3105124864869</v>
      </c>
      <c r="G300" s="19"/>
      <c r="H300" s="19">
        <f t="shared" si="49"/>
        <v>0</v>
      </c>
      <c r="I300" s="19"/>
      <c r="J300" s="19">
        <f t="shared" si="50"/>
        <v>0</v>
      </c>
      <c r="M300" s="19"/>
      <c r="N300" s="19">
        <f t="shared" si="51"/>
        <v>1754.3105124864869</v>
      </c>
      <c r="O300" s="19"/>
      <c r="P300" s="19">
        <f t="shared" si="52"/>
        <v>578067.48573235748</v>
      </c>
      <c r="Q300" s="19"/>
    </row>
    <row r="301" spans="2:20">
      <c r="B301" s="98"/>
      <c r="C301">
        <v>286</v>
      </c>
      <c r="D301" s="19">
        <f t="shared" si="55"/>
        <v>3970.3740356690951</v>
      </c>
      <c r="E301" s="19">
        <f t="shared" si="53"/>
        <v>2216.0635231826082</v>
      </c>
      <c r="F301" s="19">
        <f t="shared" si="48"/>
        <v>1754.3105124864869</v>
      </c>
      <c r="G301" s="19"/>
      <c r="H301" s="19">
        <f t="shared" si="49"/>
        <v>0</v>
      </c>
      <c r="I301" s="19"/>
      <c r="J301" s="19">
        <f t="shared" si="50"/>
        <v>0</v>
      </c>
      <c r="M301" s="19"/>
      <c r="N301" s="19">
        <f t="shared" si="51"/>
        <v>1754.3105124864869</v>
      </c>
      <c r="O301" s="19"/>
      <c r="P301" s="19">
        <f t="shared" si="52"/>
        <v>584653.64454688434</v>
      </c>
      <c r="Q301" s="19"/>
    </row>
    <row r="302" spans="2:20">
      <c r="B302" s="98"/>
      <c r="C302">
        <v>287</v>
      </c>
      <c r="D302" s="19">
        <f t="shared" si="55"/>
        <v>3970.3740356690951</v>
      </c>
      <c r="E302" s="19">
        <f t="shared" si="53"/>
        <v>2216.0635231826082</v>
      </c>
      <c r="F302" s="19">
        <f t="shared" si="48"/>
        <v>1754.3105124864869</v>
      </c>
      <c r="G302" s="19"/>
      <c r="H302" s="19">
        <f t="shared" si="49"/>
        <v>0</v>
      </c>
      <c r="I302" s="19"/>
      <c r="J302" s="19">
        <f t="shared" si="50"/>
        <v>0</v>
      </c>
      <c r="M302" s="19"/>
      <c r="N302" s="19">
        <f t="shared" si="51"/>
        <v>1754.3105124864869</v>
      </c>
      <c r="O302" s="19"/>
      <c r="P302" s="19">
        <f t="shared" si="52"/>
        <v>591294.68801819894</v>
      </c>
      <c r="Q302" s="19"/>
    </row>
    <row r="303" spans="2:20">
      <c r="B303" s="98"/>
      <c r="C303">
        <v>288</v>
      </c>
      <c r="D303" s="19">
        <f t="shared" si="55"/>
        <v>3970.3740356690951</v>
      </c>
      <c r="E303" s="19">
        <f t="shared" si="53"/>
        <v>2216.0635231826082</v>
      </c>
      <c r="F303" s="19">
        <f t="shared" si="48"/>
        <v>1754.3105124864869</v>
      </c>
      <c r="G303" s="19"/>
      <c r="H303" s="19">
        <f t="shared" si="49"/>
        <v>0</v>
      </c>
      <c r="I303" s="19"/>
      <c r="J303" s="19">
        <f t="shared" si="50"/>
        <v>0</v>
      </c>
      <c r="K303" s="19">
        <f>K291*(1+$E$12)</f>
        <v>787978.61406461056</v>
      </c>
      <c r="L303" s="57">
        <f>J303+K303</f>
        <v>787978.61406461056</v>
      </c>
      <c r="M303" s="19"/>
      <c r="N303" s="19">
        <f t="shared" si="51"/>
        <v>1754.3105124864869</v>
      </c>
      <c r="O303" s="19"/>
      <c r="P303" s="19">
        <f t="shared" si="52"/>
        <v>597991.07351844118</v>
      </c>
      <c r="Q303" s="19">
        <f>Q291*(1+$E$7)</f>
        <v>813117.64258416137</v>
      </c>
      <c r="R303" s="19">
        <f>Q303-'Primary Residence Mortgage'!J304</f>
        <v>717255.33564022591</v>
      </c>
      <c r="S303" s="57">
        <f>P303+R303</f>
        <v>1315246.4091586671</v>
      </c>
      <c r="T303" s="57"/>
    </row>
    <row r="304" spans="2:20">
      <c r="B304" s="98">
        <v>25</v>
      </c>
      <c r="C304">
        <v>289</v>
      </c>
      <c r="D304" s="19">
        <f>D303*(1+$E$10)</f>
        <v>4069.6333865608221</v>
      </c>
      <c r="E304" s="19">
        <f t="shared" si="53"/>
        <v>2216.0635231826082</v>
      </c>
      <c r="F304" s="19">
        <f t="shared" si="48"/>
        <v>1853.569863378214</v>
      </c>
      <c r="G304" s="19"/>
      <c r="H304" s="19">
        <f t="shared" si="49"/>
        <v>0</v>
      </c>
      <c r="I304" s="19"/>
      <c r="J304" s="19">
        <f t="shared" si="50"/>
        <v>0</v>
      </c>
      <c r="M304" s="19"/>
      <c r="N304" s="19">
        <f t="shared" si="51"/>
        <v>1853.569863378214</v>
      </c>
      <c r="O304" s="19"/>
      <c r="P304" s="19">
        <f t="shared" si="52"/>
        <v>604843.34874333453</v>
      </c>
      <c r="Q304" s="19"/>
    </row>
    <row r="305" spans="2:20">
      <c r="B305" s="98"/>
      <c r="C305">
        <v>290</v>
      </c>
      <c r="D305" s="19">
        <f>D304</f>
        <v>4069.6333865608221</v>
      </c>
      <c r="E305" s="19">
        <f t="shared" si="53"/>
        <v>2216.0635231826082</v>
      </c>
      <c r="F305" s="19">
        <f t="shared" si="48"/>
        <v>1853.569863378214</v>
      </c>
      <c r="G305" s="19"/>
      <c r="H305" s="19">
        <f t="shared" si="49"/>
        <v>0</v>
      </c>
      <c r="I305" s="19"/>
      <c r="J305" s="19">
        <f t="shared" si="50"/>
        <v>0</v>
      </c>
      <c r="M305" s="19"/>
      <c r="N305" s="19">
        <f t="shared" si="51"/>
        <v>1853.569863378214</v>
      </c>
      <c r="O305" s="19"/>
      <c r="P305" s="19">
        <f t="shared" si="52"/>
        <v>611752.72626176861</v>
      </c>
      <c r="Q305" s="19"/>
    </row>
    <row r="306" spans="2:20">
      <c r="B306" s="98"/>
      <c r="C306">
        <v>291</v>
      </c>
      <c r="D306" s="19">
        <f t="shared" ref="D306:D315" si="56">D305</f>
        <v>4069.6333865608221</v>
      </c>
      <c r="E306" s="19">
        <f t="shared" si="53"/>
        <v>2216.0635231826082</v>
      </c>
      <c r="F306" s="19">
        <f t="shared" si="48"/>
        <v>1853.569863378214</v>
      </c>
      <c r="G306" s="19"/>
      <c r="H306" s="19">
        <f t="shared" si="49"/>
        <v>0</v>
      </c>
      <c r="I306" s="19"/>
      <c r="J306" s="19">
        <f t="shared" si="50"/>
        <v>0</v>
      </c>
      <c r="M306" s="19"/>
      <c r="N306" s="19">
        <f t="shared" si="51"/>
        <v>1853.569863378214</v>
      </c>
      <c r="O306" s="19"/>
      <c r="P306" s="19">
        <f t="shared" si="52"/>
        <v>618719.68192618969</v>
      </c>
      <c r="Q306" s="19"/>
    </row>
    <row r="307" spans="2:20">
      <c r="B307" s="98"/>
      <c r="C307">
        <v>292</v>
      </c>
      <c r="D307" s="19">
        <f t="shared" si="56"/>
        <v>4069.6333865608221</v>
      </c>
      <c r="E307" s="19">
        <f t="shared" si="53"/>
        <v>2216.0635231826082</v>
      </c>
      <c r="F307" s="19">
        <f t="shared" si="48"/>
        <v>1853.569863378214</v>
      </c>
      <c r="G307" s="19"/>
      <c r="H307" s="19">
        <f t="shared" si="49"/>
        <v>0</v>
      </c>
      <c r="I307" s="19"/>
      <c r="J307" s="19">
        <f t="shared" si="50"/>
        <v>0</v>
      </c>
      <c r="M307" s="19"/>
      <c r="N307" s="19">
        <f t="shared" si="51"/>
        <v>1853.569863378214</v>
      </c>
      <c r="O307" s="19"/>
      <c r="P307" s="19">
        <f t="shared" si="52"/>
        <v>625744.69555448089</v>
      </c>
      <c r="Q307" s="19"/>
    </row>
    <row r="308" spans="2:20">
      <c r="B308" s="98"/>
      <c r="C308">
        <v>293</v>
      </c>
      <c r="D308" s="19">
        <f t="shared" si="56"/>
        <v>4069.6333865608221</v>
      </c>
      <c r="E308" s="19">
        <f t="shared" si="53"/>
        <v>2216.0635231826082</v>
      </c>
      <c r="F308" s="19">
        <f t="shared" si="48"/>
        <v>1853.569863378214</v>
      </c>
      <c r="G308" s="19"/>
      <c r="H308" s="19">
        <f t="shared" si="49"/>
        <v>0</v>
      </c>
      <c r="I308" s="19"/>
      <c r="J308" s="19">
        <f t="shared" si="50"/>
        <v>0</v>
      </c>
      <c r="M308" s="19"/>
      <c r="N308" s="19">
        <f t="shared" si="51"/>
        <v>1853.569863378214</v>
      </c>
      <c r="O308" s="19"/>
      <c r="P308" s="19">
        <f t="shared" si="52"/>
        <v>632828.25096300791</v>
      </c>
      <c r="Q308" s="19"/>
    </row>
    <row r="309" spans="2:20">
      <c r="B309" s="98"/>
      <c r="C309">
        <v>294</v>
      </c>
      <c r="D309" s="19">
        <f t="shared" si="56"/>
        <v>4069.6333865608221</v>
      </c>
      <c r="E309" s="19">
        <f t="shared" si="53"/>
        <v>2216.0635231826082</v>
      </c>
      <c r="F309" s="19">
        <f t="shared" si="48"/>
        <v>1853.569863378214</v>
      </c>
      <c r="G309" s="19"/>
      <c r="H309" s="19">
        <f t="shared" si="49"/>
        <v>0</v>
      </c>
      <c r="I309" s="19"/>
      <c r="J309" s="19">
        <f t="shared" si="50"/>
        <v>0</v>
      </c>
      <c r="M309" s="19"/>
      <c r="N309" s="19">
        <f t="shared" si="51"/>
        <v>1853.569863378214</v>
      </c>
      <c r="O309" s="19"/>
      <c r="P309" s="19">
        <f t="shared" si="52"/>
        <v>639970.83599993936</v>
      </c>
      <c r="Q309" s="19"/>
    </row>
    <row r="310" spans="2:20">
      <c r="B310" s="98"/>
      <c r="C310">
        <v>295</v>
      </c>
      <c r="D310" s="19">
        <f t="shared" si="56"/>
        <v>4069.6333865608221</v>
      </c>
      <c r="E310" s="19">
        <f t="shared" si="53"/>
        <v>2216.0635231826082</v>
      </c>
      <c r="F310" s="19">
        <f t="shared" si="48"/>
        <v>1853.569863378214</v>
      </c>
      <c r="G310" s="19"/>
      <c r="H310" s="19">
        <f t="shared" si="49"/>
        <v>0</v>
      </c>
      <c r="I310" s="19"/>
      <c r="J310" s="19">
        <f t="shared" si="50"/>
        <v>0</v>
      </c>
      <c r="M310" s="19"/>
      <c r="N310" s="19">
        <f t="shared" si="51"/>
        <v>1853.569863378214</v>
      </c>
      <c r="O310" s="19"/>
      <c r="P310" s="19">
        <f t="shared" si="52"/>
        <v>647172.94257884519</v>
      </c>
      <c r="Q310" s="19"/>
    </row>
    <row r="311" spans="2:20">
      <c r="B311" s="98"/>
      <c r="C311">
        <v>296</v>
      </c>
      <c r="D311" s="19">
        <f t="shared" si="56"/>
        <v>4069.6333865608221</v>
      </c>
      <c r="E311" s="19">
        <f t="shared" si="53"/>
        <v>2216.0635231826082</v>
      </c>
      <c r="F311" s="19">
        <f t="shared" si="48"/>
        <v>1853.569863378214</v>
      </c>
      <c r="G311" s="19"/>
      <c r="H311" s="19">
        <f t="shared" si="49"/>
        <v>0</v>
      </c>
      <c r="I311" s="19"/>
      <c r="J311" s="19">
        <f t="shared" si="50"/>
        <v>0</v>
      </c>
      <c r="M311" s="19"/>
      <c r="N311" s="19">
        <f t="shared" si="51"/>
        <v>1853.569863378214</v>
      </c>
      <c r="O311" s="19"/>
      <c r="P311" s="19">
        <f t="shared" si="52"/>
        <v>654435.06671257527</v>
      </c>
      <c r="Q311" s="19"/>
    </row>
    <row r="312" spans="2:20">
      <c r="B312" s="98"/>
      <c r="C312">
        <v>297</v>
      </c>
      <c r="D312" s="19">
        <f t="shared" si="56"/>
        <v>4069.6333865608221</v>
      </c>
      <c r="E312" s="19">
        <f t="shared" si="53"/>
        <v>2216.0635231826082</v>
      </c>
      <c r="F312" s="19">
        <f t="shared" si="48"/>
        <v>1853.569863378214</v>
      </c>
      <c r="G312" s="19"/>
      <c r="H312" s="19">
        <f t="shared" si="49"/>
        <v>0</v>
      </c>
      <c r="I312" s="19"/>
      <c r="J312" s="19">
        <f t="shared" si="50"/>
        <v>0</v>
      </c>
      <c r="M312" s="19"/>
      <c r="N312" s="19">
        <f t="shared" si="51"/>
        <v>1853.569863378214</v>
      </c>
      <c r="O312" s="19"/>
      <c r="P312" s="19">
        <f t="shared" si="52"/>
        <v>661757.70854741975</v>
      </c>
      <c r="Q312" s="19"/>
    </row>
    <row r="313" spans="2:20">
      <c r="B313" s="98"/>
      <c r="C313">
        <v>298</v>
      </c>
      <c r="D313" s="19">
        <f t="shared" si="56"/>
        <v>4069.6333865608221</v>
      </c>
      <c r="E313" s="19">
        <f t="shared" si="53"/>
        <v>2216.0635231826082</v>
      </c>
      <c r="F313" s="19">
        <f t="shared" si="48"/>
        <v>1853.569863378214</v>
      </c>
      <c r="G313" s="19"/>
      <c r="H313" s="19">
        <f t="shared" si="49"/>
        <v>0</v>
      </c>
      <c r="I313" s="19"/>
      <c r="J313" s="19">
        <f t="shared" si="50"/>
        <v>0</v>
      </c>
      <c r="M313" s="19"/>
      <c r="N313" s="19">
        <f t="shared" si="51"/>
        <v>1853.569863378214</v>
      </c>
      <c r="O313" s="19"/>
      <c r="P313" s="19">
        <f t="shared" si="52"/>
        <v>669141.37239755457</v>
      </c>
      <c r="Q313" s="19"/>
    </row>
    <row r="314" spans="2:20">
      <c r="B314" s="98"/>
      <c r="C314">
        <v>299</v>
      </c>
      <c r="D314" s="19">
        <f t="shared" si="56"/>
        <v>4069.6333865608221</v>
      </c>
      <c r="E314" s="19">
        <f t="shared" si="53"/>
        <v>2216.0635231826082</v>
      </c>
      <c r="F314" s="19">
        <f t="shared" si="48"/>
        <v>1853.569863378214</v>
      </c>
      <c r="G314" s="19"/>
      <c r="H314" s="19">
        <f t="shared" si="49"/>
        <v>0</v>
      </c>
      <c r="I314" s="19"/>
      <c r="J314" s="19">
        <f t="shared" si="50"/>
        <v>0</v>
      </c>
      <c r="M314" s="19"/>
      <c r="N314" s="19">
        <f t="shared" si="51"/>
        <v>1853.569863378214</v>
      </c>
      <c r="O314" s="19"/>
      <c r="P314" s="19">
        <f t="shared" si="52"/>
        <v>676586.5667797738</v>
      </c>
      <c r="Q314" s="19"/>
    </row>
    <row r="315" spans="2:20">
      <c r="B315" s="98"/>
      <c r="C315">
        <v>300</v>
      </c>
      <c r="D315" s="19">
        <f t="shared" si="56"/>
        <v>4069.6333865608221</v>
      </c>
      <c r="E315" s="19">
        <f t="shared" si="53"/>
        <v>2216.0635231826082</v>
      </c>
      <c r="F315" s="19">
        <f t="shared" si="48"/>
        <v>1853.569863378214</v>
      </c>
      <c r="G315" s="19"/>
      <c r="H315" s="19">
        <f t="shared" si="49"/>
        <v>0</v>
      </c>
      <c r="I315" s="19"/>
      <c r="J315" s="19">
        <f t="shared" si="50"/>
        <v>0</v>
      </c>
      <c r="K315" s="19">
        <f>K303*(1+$E$12)</f>
        <v>866776.47547107167</v>
      </c>
      <c r="L315" s="57">
        <f>J315+K315</f>
        <v>866776.47547107167</v>
      </c>
      <c r="M315" s="19"/>
      <c r="N315" s="19">
        <f t="shared" si="51"/>
        <v>1853.569863378214</v>
      </c>
      <c r="O315" s="19"/>
      <c r="P315" s="19">
        <f t="shared" si="52"/>
        <v>684093.80444851157</v>
      </c>
      <c r="Q315" s="19">
        <f>Q303*(1+$E$7)</f>
        <v>837511.17186168628</v>
      </c>
      <c r="R315" s="19">
        <f>Q315-'Primary Residence Mortgage'!J316</f>
        <v>756149.68545491109</v>
      </c>
      <c r="S315" s="57">
        <f>P315+R315</f>
        <v>1440243.4899034225</v>
      </c>
      <c r="T315" s="57"/>
    </row>
    <row r="316" spans="2:20">
      <c r="B316" s="98">
        <v>26</v>
      </c>
      <c r="C316">
        <v>301</v>
      </c>
      <c r="D316" s="19">
        <f>D315*(1+$E$10)</f>
        <v>4171.3742212248426</v>
      </c>
      <c r="E316" s="19">
        <f t="shared" si="53"/>
        <v>2216.0635231826082</v>
      </c>
      <c r="F316" s="19">
        <f t="shared" si="48"/>
        <v>1955.3106980422344</v>
      </c>
      <c r="G316" s="19"/>
      <c r="H316" s="19">
        <f t="shared" si="49"/>
        <v>0</v>
      </c>
      <c r="I316" s="19"/>
      <c r="J316" s="19">
        <f t="shared" si="50"/>
        <v>0</v>
      </c>
      <c r="M316" s="19"/>
      <c r="N316" s="19">
        <f t="shared" si="51"/>
        <v>1955.3106980422344</v>
      </c>
      <c r="O316" s="19"/>
      <c r="P316" s="19">
        <f t="shared" si="52"/>
        <v>691766.19110610848</v>
      </c>
      <c r="Q316" s="19"/>
    </row>
    <row r="317" spans="2:20">
      <c r="B317" s="98"/>
      <c r="C317">
        <v>302</v>
      </c>
      <c r="D317" s="19">
        <f>D316</f>
        <v>4171.3742212248426</v>
      </c>
      <c r="E317" s="19">
        <f t="shared" si="53"/>
        <v>2216.0635231826082</v>
      </c>
      <c r="F317" s="19">
        <f t="shared" si="48"/>
        <v>1955.3106980422344</v>
      </c>
      <c r="G317" s="19"/>
      <c r="H317" s="19">
        <f t="shared" si="49"/>
        <v>0</v>
      </c>
      <c r="I317" s="19"/>
      <c r="J317" s="19">
        <f t="shared" si="50"/>
        <v>0</v>
      </c>
      <c r="M317" s="19"/>
      <c r="N317" s="19">
        <f t="shared" si="51"/>
        <v>1955.3106980422344</v>
      </c>
      <c r="O317" s="19"/>
      <c r="P317" s="19">
        <f t="shared" si="52"/>
        <v>699502.51431918528</v>
      </c>
      <c r="Q317" s="19"/>
    </row>
    <row r="318" spans="2:20">
      <c r="B318" s="98"/>
      <c r="C318">
        <v>303</v>
      </c>
      <c r="D318" s="19">
        <f t="shared" ref="D318:D327" si="57">D317</f>
        <v>4171.3742212248426</v>
      </c>
      <c r="E318" s="19">
        <f t="shared" si="53"/>
        <v>2216.0635231826082</v>
      </c>
      <c r="F318" s="19">
        <f t="shared" si="48"/>
        <v>1955.3106980422344</v>
      </c>
      <c r="G318" s="19"/>
      <c r="H318" s="19">
        <f t="shared" si="49"/>
        <v>0</v>
      </c>
      <c r="I318" s="19"/>
      <c r="J318" s="19">
        <f t="shared" si="50"/>
        <v>0</v>
      </c>
      <c r="M318" s="19"/>
      <c r="N318" s="19">
        <f t="shared" si="51"/>
        <v>1955.3106980422344</v>
      </c>
      <c r="O318" s="19"/>
      <c r="P318" s="19">
        <f t="shared" si="52"/>
        <v>707303.30689237115</v>
      </c>
      <c r="Q318" s="19"/>
    </row>
    <row r="319" spans="2:20">
      <c r="B319" s="98"/>
      <c r="C319">
        <v>304</v>
      </c>
      <c r="D319" s="19">
        <f t="shared" si="57"/>
        <v>4171.3742212248426</v>
      </c>
      <c r="E319" s="19">
        <f t="shared" si="53"/>
        <v>2216.0635231826082</v>
      </c>
      <c r="F319" s="19">
        <f t="shared" si="48"/>
        <v>1955.3106980422344</v>
      </c>
      <c r="G319" s="19"/>
      <c r="H319" s="19">
        <f t="shared" si="49"/>
        <v>0</v>
      </c>
      <c r="I319" s="19"/>
      <c r="J319" s="19">
        <f t="shared" si="50"/>
        <v>0</v>
      </c>
      <c r="M319" s="19"/>
      <c r="N319" s="19">
        <f t="shared" si="51"/>
        <v>1955.3106980422344</v>
      </c>
      <c r="O319" s="19"/>
      <c r="P319" s="19">
        <f t="shared" si="52"/>
        <v>715169.10607033351</v>
      </c>
      <c r="Q319" s="19"/>
    </row>
    <row r="320" spans="2:20">
      <c r="B320" s="98"/>
      <c r="C320">
        <v>305</v>
      </c>
      <c r="D320" s="19">
        <f t="shared" si="57"/>
        <v>4171.3742212248426</v>
      </c>
      <c r="E320" s="19">
        <f t="shared" si="53"/>
        <v>2216.0635231826082</v>
      </c>
      <c r="F320" s="19">
        <f t="shared" si="48"/>
        <v>1955.3106980422344</v>
      </c>
      <c r="G320" s="19"/>
      <c r="H320" s="19">
        <f t="shared" si="49"/>
        <v>0</v>
      </c>
      <c r="I320" s="19"/>
      <c r="J320" s="19">
        <f t="shared" si="50"/>
        <v>0</v>
      </c>
      <c r="M320" s="19"/>
      <c r="N320" s="19">
        <f t="shared" si="51"/>
        <v>1955.3106980422344</v>
      </c>
      <c r="O320" s="19"/>
      <c r="P320" s="19">
        <f t="shared" si="52"/>
        <v>723100.45357477886</v>
      </c>
      <c r="Q320" s="19"/>
    </row>
    <row r="321" spans="2:20">
      <c r="B321" s="98"/>
      <c r="C321">
        <v>306</v>
      </c>
      <c r="D321" s="19">
        <f t="shared" si="57"/>
        <v>4171.3742212248426</v>
      </c>
      <c r="E321" s="19">
        <f t="shared" si="53"/>
        <v>2216.0635231826082</v>
      </c>
      <c r="F321" s="19">
        <f t="shared" si="48"/>
        <v>1955.3106980422344</v>
      </c>
      <c r="G321" s="19"/>
      <c r="H321" s="19">
        <f t="shared" si="49"/>
        <v>0</v>
      </c>
      <c r="I321" s="19"/>
      <c r="J321" s="19">
        <f t="shared" si="50"/>
        <v>0</v>
      </c>
      <c r="M321" s="19"/>
      <c r="N321" s="19">
        <f t="shared" si="51"/>
        <v>1955.3106980422344</v>
      </c>
      <c r="O321" s="19"/>
      <c r="P321" s="19">
        <f t="shared" si="52"/>
        <v>731097.89564176125</v>
      </c>
      <c r="Q321" s="19"/>
    </row>
    <row r="322" spans="2:20">
      <c r="B322" s="98"/>
      <c r="C322">
        <v>307</v>
      </c>
      <c r="D322" s="19">
        <f t="shared" si="57"/>
        <v>4171.3742212248426</v>
      </c>
      <c r="E322" s="19">
        <f t="shared" si="53"/>
        <v>2216.0635231826082</v>
      </c>
      <c r="F322" s="19">
        <f t="shared" si="48"/>
        <v>1955.3106980422344</v>
      </c>
      <c r="G322" s="19"/>
      <c r="H322" s="19">
        <f t="shared" si="49"/>
        <v>0</v>
      </c>
      <c r="I322" s="19"/>
      <c r="J322" s="19">
        <f t="shared" si="50"/>
        <v>0</v>
      </c>
      <c r="M322" s="19"/>
      <c r="N322" s="19">
        <f t="shared" si="51"/>
        <v>1955.3106980422344</v>
      </c>
      <c r="O322" s="19"/>
      <c r="P322" s="19">
        <f t="shared" si="52"/>
        <v>739161.98305930186</v>
      </c>
      <c r="Q322" s="19"/>
    </row>
    <row r="323" spans="2:20">
      <c r="B323" s="98"/>
      <c r="C323">
        <v>308</v>
      </c>
      <c r="D323" s="19">
        <f t="shared" si="57"/>
        <v>4171.3742212248426</v>
      </c>
      <c r="E323" s="19">
        <f t="shared" si="53"/>
        <v>2216.0635231826082</v>
      </c>
      <c r="F323" s="19">
        <f t="shared" si="48"/>
        <v>1955.3106980422344</v>
      </c>
      <c r="G323" s="19"/>
      <c r="H323" s="19">
        <f t="shared" si="49"/>
        <v>0</v>
      </c>
      <c r="I323" s="19"/>
      <c r="J323" s="19">
        <f t="shared" si="50"/>
        <v>0</v>
      </c>
      <c r="M323" s="19"/>
      <c r="N323" s="19">
        <f t="shared" si="51"/>
        <v>1955.3106980422344</v>
      </c>
      <c r="O323" s="19"/>
      <c r="P323" s="19">
        <f t="shared" si="52"/>
        <v>747293.271205322</v>
      </c>
      <c r="Q323" s="19"/>
    </row>
    <row r="324" spans="2:20">
      <c r="B324" s="98"/>
      <c r="C324">
        <v>309</v>
      </c>
      <c r="D324" s="19">
        <f t="shared" si="57"/>
        <v>4171.3742212248426</v>
      </c>
      <c r="E324" s="19">
        <f t="shared" si="53"/>
        <v>2216.0635231826082</v>
      </c>
      <c r="F324" s="19">
        <f t="shared" si="48"/>
        <v>1955.3106980422344</v>
      </c>
      <c r="G324" s="19"/>
      <c r="H324" s="19">
        <f t="shared" si="49"/>
        <v>0</v>
      </c>
      <c r="I324" s="19"/>
      <c r="J324" s="19">
        <f t="shared" si="50"/>
        <v>0</v>
      </c>
      <c r="M324" s="19"/>
      <c r="N324" s="19">
        <f t="shared" si="51"/>
        <v>1955.3106980422344</v>
      </c>
      <c r="O324" s="19"/>
      <c r="P324" s="19">
        <f t="shared" si="52"/>
        <v>755492.32008589234</v>
      </c>
      <c r="Q324" s="19"/>
    </row>
    <row r="325" spans="2:20">
      <c r="B325" s="98"/>
      <c r="C325">
        <v>310</v>
      </c>
      <c r="D325" s="19">
        <f t="shared" si="57"/>
        <v>4171.3742212248426</v>
      </c>
      <c r="E325" s="19">
        <f t="shared" si="53"/>
        <v>2216.0635231826082</v>
      </c>
      <c r="F325" s="19">
        <f t="shared" si="48"/>
        <v>1955.3106980422344</v>
      </c>
      <c r="G325" s="19"/>
      <c r="H325" s="19">
        <f t="shared" si="49"/>
        <v>0</v>
      </c>
      <c r="I325" s="19"/>
      <c r="J325" s="19">
        <f t="shared" si="50"/>
        <v>0</v>
      </c>
      <c r="M325" s="19"/>
      <c r="N325" s="19">
        <f t="shared" si="51"/>
        <v>1955.3106980422344</v>
      </c>
      <c r="O325" s="19"/>
      <c r="P325" s="19">
        <f t="shared" si="52"/>
        <v>763759.69437380077</v>
      </c>
      <c r="Q325" s="19"/>
    </row>
    <row r="326" spans="2:20">
      <c r="B326" s="98"/>
      <c r="C326">
        <v>311</v>
      </c>
      <c r="D326" s="19">
        <f t="shared" si="57"/>
        <v>4171.3742212248426</v>
      </c>
      <c r="E326" s="19">
        <f t="shared" si="53"/>
        <v>2216.0635231826082</v>
      </c>
      <c r="F326" s="19">
        <f t="shared" si="48"/>
        <v>1955.3106980422344</v>
      </c>
      <c r="G326" s="19"/>
      <c r="H326" s="19">
        <f t="shared" si="49"/>
        <v>0</v>
      </c>
      <c r="I326" s="19"/>
      <c r="J326" s="19">
        <f t="shared" si="50"/>
        <v>0</v>
      </c>
      <c r="M326" s="19"/>
      <c r="N326" s="19">
        <f t="shared" si="51"/>
        <v>1955.3106980422344</v>
      </c>
      <c r="O326" s="19"/>
      <c r="P326" s="19">
        <f t="shared" si="52"/>
        <v>772095.9634474417</v>
      </c>
      <c r="Q326" s="19"/>
    </row>
    <row r="327" spans="2:20">
      <c r="B327" s="98"/>
      <c r="C327">
        <v>312</v>
      </c>
      <c r="D327" s="19">
        <f t="shared" si="57"/>
        <v>4171.3742212248426</v>
      </c>
      <c r="E327" s="19">
        <f t="shared" si="53"/>
        <v>2216.0635231826082</v>
      </c>
      <c r="F327" s="19">
        <f t="shared" si="48"/>
        <v>1955.3106980422344</v>
      </c>
      <c r="G327" s="19"/>
      <c r="H327" s="19">
        <f t="shared" si="49"/>
        <v>0</v>
      </c>
      <c r="I327" s="19"/>
      <c r="J327" s="19">
        <f t="shared" si="50"/>
        <v>0</v>
      </c>
      <c r="K327" s="19">
        <f>K315*(1+$E$12)</f>
        <v>953454.12301817886</v>
      </c>
      <c r="L327" s="57">
        <f>J327+K327</f>
        <v>953454.12301817886</v>
      </c>
      <c r="M327" s="19"/>
      <c r="N327" s="19">
        <f t="shared" si="51"/>
        <v>1955.3106980422344</v>
      </c>
      <c r="O327" s="19"/>
      <c r="P327" s="19">
        <f t="shared" si="52"/>
        <v>780501.7014300297</v>
      </c>
      <c r="Q327" s="19">
        <f>Q315*(1+$E$7)</f>
        <v>862636.5070175369</v>
      </c>
      <c r="R327" s="19">
        <f>Q327-'Primary Residence Mortgage'!J328</f>
        <v>796336.57148318144</v>
      </c>
      <c r="S327" s="57">
        <f>P327+R327</f>
        <v>1576838.272913211</v>
      </c>
      <c r="T327" s="57"/>
    </row>
    <row r="328" spans="2:20">
      <c r="B328" s="98">
        <v>27</v>
      </c>
      <c r="C328">
        <v>313</v>
      </c>
      <c r="D328" s="19">
        <f>D327*(1+$E$10)</f>
        <v>4275.6585767554634</v>
      </c>
      <c r="E328" s="19">
        <f t="shared" si="53"/>
        <v>2216.0635231826082</v>
      </c>
      <c r="F328" s="19">
        <f t="shared" si="48"/>
        <v>2059.5950535728552</v>
      </c>
      <c r="G328" s="19"/>
      <c r="H328" s="19">
        <f t="shared" si="49"/>
        <v>0</v>
      </c>
      <c r="I328" s="19"/>
      <c r="J328" s="19">
        <f t="shared" si="50"/>
        <v>0</v>
      </c>
      <c r="M328" s="19"/>
      <c r="N328" s="19">
        <f t="shared" si="51"/>
        <v>2059.5950535728552</v>
      </c>
      <c r="O328" s="19"/>
      <c r="P328" s="19">
        <f t="shared" si="52"/>
        <v>789082.64062096598</v>
      </c>
      <c r="Q328" s="19"/>
    </row>
    <row r="329" spans="2:20">
      <c r="B329" s="98"/>
      <c r="C329">
        <v>314</v>
      </c>
      <c r="D329" s="19">
        <f>D328</f>
        <v>4275.6585767554634</v>
      </c>
      <c r="E329" s="19">
        <f t="shared" si="53"/>
        <v>2216.0635231826082</v>
      </c>
      <c r="F329" s="19">
        <f t="shared" si="48"/>
        <v>2059.5950535728552</v>
      </c>
      <c r="G329" s="19"/>
      <c r="H329" s="19">
        <f t="shared" si="49"/>
        <v>0</v>
      </c>
      <c r="I329" s="19"/>
      <c r="J329" s="19">
        <f t="shared" si="50"/>
        <v>0</v>
      </c>
      <c r="M329" s="19"/>
      <c r="N329" s="19">
        <f t="shared" si="51"/>
        <v>2059.5950535728552</v>
      </c>
      <c r="O329" s="19"/>
      <c r="P329" s="19">
        <f t="shared" si="52"/>
        <v>797735.08763849339</v>
      </c>
      <c r="Q329" s="19"/>
    </row>
    <row r="330" spans="2:20">
      <c r="B330" s="98"/>
      <c r="C330">
        <v>315</v>
      </c>
      <c r="D330" s="19">
        <f t="shared" ref="D330:D339" si="58">D329</f>
        <v>4275.6585767554634</v>
      </c>
      <c r="E330" s="19">
        <f t="shared" si="53"/>
        <v>2216.0635231826082</v>
      </c>
      <c r="F330" s="19">
        <f t="shared" si="48"/>
        <v>2059.5950535728552</v>
      </c>
      <c r="G330" s="19"/>
      <c r="H330" s="19">
        <f t="shared" si="49"/>
        <v>0</v>
      </c>
      <c r="I330" s="19"/>
      <c r="J330" s="19">
        <f t="shared" si="50"/>
        <v>0</v>
      </c>
      <c r="M330" s="19"/>
      <c r="N330" s="19">
        <f t="shared" si="51"/>
        <v>2059.5950535728552</v>
      </c>
      <c r="O330" s="19"/>
      <c r="P330" s="19">
        <f t="shared" si="52"/>
        <v>806459.63838116685</v>
      </c>
      <c r="Q330" s="19"/>
    </row>
    <row r="331" spans="2:20">
      <c r="B331" s="98"/>
      <c r="C331">
        <v>316</v>
      </c>
      <c r="D331" s="19">
        <f t="shared" si="58"/>
        <v>4275.6585767554634</v>
      </c>
      <c r="E331" s="19">
        <f t="shared" si="53"/>
        <v>2216.0635231826082</v>
      </c>
      <c r="F331" s="19">
        <f t="shared" si="48"/>
        <v>2059.5950535728552</v>
      </c>
      <c r="G331" s="19"/>
      <c r="H331" s="19">
        <f t="shared" si="49"/>
        <v>0</v>
      </c>
      <c r="I331" s="19"/>
      <c r="J331" s="19">
        <f t="shared" si="50"/>
        <v>0</v>
      </c>
      <c r="M331" s="19"/>
      <c r="N331" s="19">
        <f t="shared" si="51"/>
        <v>2059.5950535728552</v>
      </c>
      <c r="O331" s="19"/>
      <c r="P331" s="19">
        <f t="shared" si="52"/>
        <v>815256.89371336251</v>
      </c>
      <c r="Q331" s="19"/>
    </row>
    <row r="332" spans="2:20">
      <c r="B332" s="98"/>
      <c r="C332">
        <v>317</v>
      </c>
      <c r="D332" s="19">
        <f t="shared" si="58"/>
        <v>4275.6585767554634</v>
      </c>
      <c r="E332" s="19">
        <f t="shared" si="53"/>
        <v>2216.0635231826082</v>
      </c>
      <c r="F332" s="19">
        <f t="shared" si="48"/>
        <v>2059.5950535728552</v>
      </c>
      <c r="G332" s="19"/>
      <c r="H332" s="19">
        <f t="shared" si="49"/>
        <v>0</v>
      </c>
      <c r="I332" s="19"/>
      <c r="J332" s="19">
        <f t="shared" si="50"/>
        <v>0</v>
      </c>
      <c r="M332" s="19"/>
      <c r="N332" s="19">
        <f t="shared" si="51"/>
        <v>2059.5950535728552</v>
      </c>
      <c r="O332" s="19"/>
      <c r="P332" s="19">
        <f t="shared" si="52"/>
        <v>824127.45950665988</v>
      </c>
      <c r="Q332" s="19"/>
    </row>
    <row r="333" spans="2:20">
      <c r="B333" s="98"/>
      <c r="C333">
        <v>318</v>
      </c>
      <c r="D333" s="19">
        <f t="shared" si="58"/>
        <v>4275.6585767554634</v>
      </c>
      <c r="E333" s="19">
        <f t="shared" si="53"/>
        <v>2216.0635231826082</v>
      </c>
      <c r="F333" s="19">
        <f t="shared" si="48"/>
        <v>2059.5950535728552</v>
      </c>
      <c r="G333" s="19"/>
      <c r="H333" s="19">
        <f t="shared" si="49"/>
        <v>0</v>
      </c>
      <c r="I333" s="19"/>
      <c r="J333" s="19">
        <f t="shared" si="50"/>
        <v>0</v>
      </c>
      <c r="M333" s="19"/>
      <c r="N333" s="19">
        <f t="shared" si="51"/>
        <v>2059.5950535728552</v>
      </c>
      <c r="O333" s="19"/>
      <c r="P333" s="19">
        <f t="shared" si="52"/>
        <v>833071.94668156805</v>
      </c>
      <c r="Q333" s="19"/>
    </row>
    <row r="334" spans="2:20">
      <c r="B334" s="98"/>
      <c r="C334">
        <v>319</v>
      </c>
      <c r="D334" s="19">
        <f t="shared" si="58"/>
        <v>4275.6585767554634</v>
      </c>
      <c r="E334" s="19">
        <f t="shared" si="53"/>
        <v>2216.0635231826082</v>
      </c>
      <c r="F334" s="19">
        <f t="shared" si="48"/>
        <v>2059.5950535728552</v>
      </c>
      <c r="G334" s="19"/>
      <c r="H334" s="19">
        <f t="shared" si="49"/>
        <v>0</v>
      </c>
      <c r="I334" s="19"/>
      <c r="J334" s="19">
        <f t="shared" si="50"/>
        <v>0</v>
      </c>
      <c r="M334" s="19"/>
      <c r="N334" s="19">
        <f t="shared" si="51"/>
        <v>2059.5950535728552</v>
      </c>
      <c r="O334" s="19"/>
      <c r="P334" s="19">
        <f t="shared" si="52"/>
        <v>842090.97124960041</v>
      </c>
      <c r="Q334" s="19"/>
    </row>
    <row r="335" spans="2:20">
      <c r="B335" s="98"/>
      <c r="C335">
        <v>320</v>
      </c>
      <c r="D335" s="19">
        <f t="shared" si="58"/>
        <v>4275.6585767554634</v>
      </c>
      <c r="E335" s="19">
        <f t="shared" si="53"/>
        <v>2216.0635231826082</v>
      </c>
      <c r="F335" s="19">
        <f t="shared" si="48"/>
        <v>2059.5950535728552</v>
      </c>
      <c r="G335" s="19"/>
      <c r="H335" s="19">
        <f t="shared" si="49"/>
        <v>0</v>
      </c>
      <c r="I335" s="19"/>
      <c r="J335" s="19">
        <f t="shared" si="50"/>
        <v>0</v>
      </c>
      <c r="M335" s="19"/>
      <c r="N335" s="19">
        <f t="shared" si="51"/>
        <v>2059.5950535728552</v>
      </c>
      <c r="O335" s="19"/>
      <c r="P335" s="19">
        <f t="shared" si="52"/>
        <v>851185.15435569978</v>
      </c>
      <c r="Q335" s="19"/>
    </row>
    <row r="336" spans="2:20">
      <c r="B336" s="98"/>
      <c r="C336">
        <v>321</v>
      </c>
      <c r="D336" s="19">
        <f t="shared" si="58"/>
        <v>4275.6585767554634</v>
      </c>
      <c r="E336" s="19">
        <f t="shared" si="53"/>
        <v>2216.0635231826082</v>
      </c>
      <c r="F336" s="19">
        <f t="shared" si="48"/>
        <v>2059.5950535728552</v>
      </c>
      <c r="G336" s="19"/>
      <c r="H336" s="19">
        <f t="shared" si="49"/>
        <v>0</v>
      </c>
      <c r="I336" s="19"/>
      <c r="J336" s="19">
        <f t="shared" si="50"/>
        <v>0</v>
      </c>
      <c r="M336" s="19"/>
      <c r="N336" s="19">
        <f t="shared" si="51"/>
        <v>2059.5950535728552</v>
      </c>
      <c r="O336" s="19"/>
      <c r="P336" s="19">
        <f t="shared" si="52"/>
        <v>860355.12232101662</v>
      </c>
      <c r="Q336" s="19"/>
    </row>
    <row r="337" spans="2:20">
      <c r="B337" s="98"/>
      <c r="C337">
        <v>322</v>
      </c>
      <c r="D337" s="19">
        <f t="shared" si="58"/>
        <v>4275.6585767554634</v>
      </c>
      <c r="E337" s="19">
        <f t="shared" si="53"/>
        <v>2216.0635231826082</v>
      </c>
      <c r="F337" s="19">
        <f t="shared" ref="F337:F375" si="59">D337-E337</f>
        <v>2059.5950535728552</v>
      </c>
      <c r="G337" s="19"/>
      <c r="H337" s="19">
        <f t="shared" ref="H337:H375" si="60">IF(F337&lt;0,-F337,0)</f>
        <v>0</v>
      </c>
      <c r="I337" s="19"/>
      <c r="J337" s="19">
        <f t="shared" ref="J337:J375" si="61">(J336+H337)*(1+$E$12/12)</f>
        <v>0</v>
      </c>
      <c r="M337" s="19"/>
      <c r="N337" s="19">
        <f t="shared" ref="N337:N375" si="62">IF(F337&gt;0,F337,0)</f>
        <v>2059.5950535728552</v>
      </c>
      <c r="O337" s="19"/>
      <c r="P337" s="19">
        <f t="shared" ref="P337:P375" si="63">(P336+N337)*(1+$E$12/12)</f>
        <v>869601.50668604439</v>
      </c>
      <c r="Q337" s="19"/>
    </row>
    <row r="338" spans="2:20">
      <c r="B338" s="98"/>
      <c r="C338">
        <v>323</v>
      </c>
      <c r="D338" s="19">
        <f t="shared" si="58"/>
        <v>4275.6585767554634</v>
      </c>
      <c r="E338" s="19">
        <f t="shared" ref="E338:E375" si="64">E337</f>
        <v>2216.0635231826082</v>
      </c>
      <c r="F338" s="19">
        <f t="shared" si="59"/>
        <v>2059.5950535728552</v>
      </c>
      <c r="G338" s="19"/>
      <c r="H338" s="19">
        <f t="shared" si="60"/>
        <v>0</v>
      </c>
      <c r="I338" s="19"/>
      <c r="J338" s="19">
        <f t="shared" si="61"/>
        <v>0</v>
      </c>
      <c r="M338" s="19"/>
      <c r="N338" s="19">
        <f t="shared" si="62"/>
        <v>2059.5950535728552</v>
      </c>
      <c r="O338" s="19"/>
      <c r="P338" s="19">
        <f t="shared" si="63"/>
        <v>878924.94425411406</v>
      </c>
      <c r="Q338" s="19"/>
    </row>
    <row r="339" spans="2:20">
      <c r="B339" s="98"/>
      <c r="C339">
        <v>324</v>
      </c>
      <c r="D339" s="19">
        <f t="shared" si="58"/>
        <v>4275.6585767554634</v>
      </c>
      <c r="E339" s="19">
        <f t="shared" si="64"/>
        <v>2216.0635231826082</v>
      </c>
      <c r="F339" s="19">
        <f t="shared" si="59"/>
        <v>2059.5950535728552</v>
      </c>
      <c r="G339" s="19"/>
      <c r="H339" s="19">
        <f t="shared" si="60"/>
        <v>0</v>
      </c>
      <c r="I339" s="19"/>
      <c r="J339" s="19">
        <f t="shared" si="61"/>
        <v>0</v>
      </c>
      <c r="K339" s="19">
        <f>K327*(1+$E$12)</f>
        <v>1048799.5353199968</v>
      </c>
      <c r="L339" s="57">
        <f>J339+K339</f>
        <v>1048799.5353199968</v>
      </c>
      <c r="M339" s="19"/>
      <c r="N339" s="19">
        <f t="shared" si="62"/>
        <v>2059.5950535728552</v>
      </c>
      <c r="O339" s="19"/>
      <c r="P339" s="19">
        <f t="shared" si="63"/>
        <v>888326.07713525102</v>
      </c>
      <c r="Q339" s="19">
        <f>Q327*(1+$E$7)</f>
        <v>888515.60222806304</v>
      </c>
      <c r="R339" s="19">
        <f>Q339-'Primary Residence Mortgage'!J340</f>
        <v>837859.63070947863</v>
      </c>
      <c r="S339" s="57">
        <f>P339+R339</f>
        <v>1726185.7078447295</v>
      </c>
      <c r="T339" s="57"/>
    </row>
    <row r="340" spans="2:20">
      <c r="B340" s="98">
        <v>28</v>
      </c>
      <c r="C340">
        <v>325</v>
      </c>
      <c r="D340" s="19">
        <f>D339*(1+$E$10)</f>
        <v>4382.5500411743496</v>
      </c>
      <c r="E340" s="19">
        <f t="shared" si="64"/>
        <v>2216.0635231826082</v>
      </c>
      <c r="F340" s="19">
        <f t="shared" si="59"/>
        <v>2166.4865179917415</v>
      </c>
      <c r="G340" s="19"/>
      <c r="H340" s="19">
        <f t="shared" si="60"/>
        <v>0</v>
      </c>
      <c r="I340" s="19"/>
      <c r="J340" s="19">
        <f t="shared" si="61"/>
        <v>0</v>
      </c>
      <c r="M340" s="19"/>
      <c r="N340" s="19">
        <f t="shared" si="62"/>
        <v>2166.4865179917415</v>
      </c>
      <c r="O340" s="19"/>
      <c r="P340" s="19">
        <f t="shared" si="63"/>
        <v>897913.33501701977</v>
      </c>
      <c r="Q340" s="19"/>
    </row>
    <row r="341" spans="2:20">
      <c r="B341" s="98"/>
      <c r="C341">
        <v>326</v>
      </c>
      <c r="D341" s="19">
        <f>D340</f>
        <v>4382.5500411743496</v>
      </c>
      <c r="E341" s="19">
        <f t="shared" si="64"/>
        <v>2216.0635231826082</v>
      </c>
      <c r="F341" s="19">
        <f t="shared" si="59"/>
        <v>2166.4865179917415</v>
      </c>
      <c r="G341" s="19"/>
      <c r="H341" s="19">
        <f t="shared" si="60"/>
        <v>0</v>
      </c>
      <c r="I341" s="19"/>
      <c r="J341" s="19">
        <f t="shared" si="61"/>
        <v>0</v>
      </c>
      <c r="M341" s="19"/>
      <c r="N341" s="19">
        <f t="shared" si="62"/>
        <v>2166.4865179917415</v>
      </c>
      <c r="O341" s="19"/>
      <c r="P341" s="19">
        <f t="shared" si="63"/>
        <v>907580.48671446997</v>
      </c>
      <c r="Q341" s="19"/>
    </row>
    <row r="342" spans="2:20">
      <c r="B342" s="98"/>
      <c r="C342">
        <v>327</v>
      </c>
      <c r="D342" s="19">
        <f t="shared" ref="D342:D351" si="65">D341</f>
        <v>4382.5500411743496</v>
      </c>
      <c r="E342" s="19">
        <f t="shared" si="64"/>
        <v>2216.0635231826082</v>
      </c>
      <c r="F342" s="19">
        <f t="shared" si="59"/>
        <v>2166.4865179917415</v>
      </c>
      <c r="G342" s="19"/>
      <c r="H342" s="19">
        <f t="shared" si="60"/>
        <v>0</v>
      </c>
      <c r="I342" s="19"/>
      <c r="J342" s="19">
        <f t="shared" si="61"/>
        <v>0</v>
      </c>
      <c r="M342" s="19"/>
      <c r="N342" s="19">
        <f t="shared" si="62"/>
        <v>2166.4865179917415</v>
      </c>
      <c r="O342" s="19"/>
      <c r="P342" s="19">
        <f t="shared" si="63"/>
        <v>917328.19800939888</v>
      </c>
      <c r="Q342" s="19"/>
    </row>
    <row r="343" spans="2:20">
      <c r="B343" s="98"/>
      <c r="C343">
        <v>328</v>
      </c>
      <c r="D343" s="19">
        <f t="shared" si="65"/>
        <v>4382.5500411743496</v>
      </c>
      <c r="E343" s="19">
        <f t="shared" si="64"/>
        <v>2216.0635231826082</v>
      </c>
      <c r="F343" s="19">
        <f t="shared" si="59"/>
        <v>2166.4865179917415</v>
      </c>
      <c r="G343" s="19"/>
      <c r="H343" s="19">
        <f t="shared" si="60"/>
        <v>0</v>
      </c>
      <c r="I343" s="19"/>
      <c r="J343" s="19">
        <f t="shared" si="61"/>
        <v>0</v>
      </c>
      <c r="M343" s="19"/>
      <c r="N343" s="19">
        <f t="shared" si="62"/>
        <v>2166.4865179917415</v>
      </c>
      <c r="O343" s="19"/>
      <c r="P343" s="19">
        <f t="shared" si="63"/>
        <v>927157.14023178548</v>
      </c>
      <c r="Q343" s="19"/>
    </row>
    <row r="344" spans="2:20">
      <c r="B344" s="98"/>
      <c r="C344">
        <v>329</v>
      </c>
      <c r="D344" s="19">
        <f t="shared" si="65"/>
        <v>4382.5500411743496</v>
      </c>
      <c r="E344" s="19">
        <f t="shared" si="64"/>
        <v>2216.0635231826082</v>
      </c>
      <c r="F344" s="19">
        <f t="shared" si="59"/>
        <v>2166.4865179917415</v>
      </c>
      <c r="G344" s="19"/>
      <c r="H344" s="19">
        <f t="shared" si="60"/>
        <v>0</v>
      </c>
      <c r="I344" s="19"/>
      <c r="J344" s="19">
        <f t="shared" si="61"/>
        <v>0</v>
      </c>
      <c r="M344" s="19"/>
      <c r="N344" s="19">
        <f t="shared" si="62"/>
        <v>2166.4865179917415</v>
      </c>
      <c r="O344" s="19"/>
      <c r="P344" s="19">
        <f t="shared" si="63"/>
        <v>937067.99030602537</v>
      </c>
      <c r="Q344" s="19"/>
    </row>
    <row r="345" spans="2:20">
      <c r="B345" s="98"/>
      <c r="C345">
        <v>330</v>
      </c>
      <c r="D345" s="19">
        <f t="shared" si="65"/>
        <v>4382.5500411743496</v>
      </c>
      <c r="E345" s="19">
        <f t="shared" si="64"/>
        <v>2216.0635231826082</v>
      </c>
      <c r="F345" s="19">
        <f t="shared" si="59"/>
        <v>2166.4865179917415</v>
      </c>
      <c r="G345" s="19"/>
      <c r="H345" s="19">
        <f t="shared" si="60"/>
        <v>0</v>
      </c>
      <c r="I345" s="19"/>
      <c r="J345" s="19">
        <f t="shared" si="61"/>
        <v>0</v>
      </c>
      <c r="M345" s="19"/>
      <c r="N345" s="19">
        <f t="shared" si="62"/>
        <v>2166.4865179917415</v>
      </c>
      <c r="O345" s="19"/>
      <c r="P345" s="19">
        <f t="shared" si="63"/>
        <v>947061.43079755059</v>
      </c>
      <c r="Q345" s="19"/>
    </row>
    <row r="346" spans="2:20">
      <c r="B346" s="98"/>
      <c r="C346">
        <v>331</v>
      </c>
      <c r="D346" s="19">
        <f t="shared" si="65"/>
        <v>4382.5500411743496</v>
      </c>
      <c r="E346" s="19">
        <f t="shared" si="64"/>
        <v>2216.0635231826082</v>
      </c>
      <c r="F346" s="19">
        <f t="shared" si="59"/>
        <v>2166.4865179917415</v>
      </c>
      <c r="G346" s="19"/>
      <c r="H346" s="19">
        <f t="shared" si="60"/>
        <v>0</v>
      </c>
      <c r="I346" s="19"/>
      <c r="J346" s="19">
        <f t="shared" si="61"/>
        <v>0</v>
      </c>
      <c r="M346" s="19"/>
      <c r="N346" s="19">
        <f t="shared" si="62"/>
        <v>2166.4865179917415</v>
      </c>
      <c r="O346" s="19"/>
      <c r="P346" s="19">
        <f t="shared" si="63"/>
        <v>957138.14995983848</v>
      </c>
      <c r="Q346" s="19"/>
    </row>
    <row r="347" spans="2:20">
      <c r="B347" s="98"/>
      <c r="C347">
        <v>332</v>
      </c>
      <c r="D347" s="19">
        <f t="shared" si="65"/>
        <v>4382.5500411743496</v>
      </c>
      <c r="E347" s="19">
        <f t="shared" si="64"/>
        <v>2216.0635231826082</v>
      </c>
      <c r="F347" s="19">
        <f t="shared" si="59"/>
        <v>2166.4865179917415</v>
      </c>
      <c r="G347" s="19"/>
      <c r="H347" s="19">
        <f t="shared" si="60"/>
        <v>0</v>
      </c>
      <c r="I347" s="19"/>
      <c r="J347" s="19">
        <f t="shared" si="61"/>
        <v>0</v>
      </c>
      <c r="M347" s="19"/>
      <c r="N347" s="19">
        <f t="shared" si="62"/>
        <v>2166.4865179917415</v>
      </c>
      <c r="O347" s="19"/>
      <c r="P347" s="19">
        <f t="shared" si="63"/>
        <v>967298.84178181214</v>
      </c>
      <c r="Q347" s="19"/>
    </row>
    <row r="348" spans="2:20">
      <c r="B348" s="98"/>
      <c r="C348">
        <v>333</v>
      </c>
      <c r="D348" s="19">
        <f t="shared" si="65"/>
        <v>4382.5500411743496</v>
      </c>
      <c r="E348" s="19">
        <f t="shared" si="64"/>
        <v>2216.0635231826082</v>
      </c>
      <c r="F348" s="19">
        <f t="shared" si="59"/>
        <v>2166.4865179917415</v>
      </c>
      <c r="G348" s="19"/>
      <c r="H348" s="19">
        <f t="shared" si="60"/>
        <v>0</v>
      </c>
      <c r="I348" s="19"/>
      <c r="J348" s="19">
        <f t="shared" si="61"/>
        <v>0</v>
      </c>
      <c r="M348" s="19"/>
      <c r="N348" s="19">
        <f t="shared" si="62"/>
        <v>2166.4865179917415</v>
      </c>
      <c r="O348" s="19"/>
      <c r="P348" s="19">
        <f t="shared" si="63"/>
        <v>977544.20603563555</v>
      </c>
      <c r="Q348" s="19"/>
    </row>
    <row r="349" spans="2:20">
      <c r="B349" s="98"/>
      <c r="C349">
        <v>334</v>
      </c>
      <c r="D349" s="19">
        <f t="shared" si="65"/>
        <v>4382.5500411743496</v>
      </c>
      <c r="E349" s="19">
        <f t="shared" si="64"/>
        <v>2216.0635231826082</v>
      </c>
      <c r="F349" s="19">
        <f t="shared" si="59"/>
        <v>2166.4865179917415</v>
      </c>
      <c r="G349" s="19"/>
      <c r="H349" s="19">
        <f t="shared" si="60"/>
        <v>0</v>
      </c>
      <c r="I349" s="19"/>
      <c r="J349" s="19">
        <f t="shared" si="61"/>
        <v>0</v>
      </c>
      <c r="M349" s="19"/>
      <c r="N349" s="19">
        <f t="shared" si="62"/>
        <v>2166.4865179917415</v>
      </c>
      <c r="O349" s="19"/>
      <c r="P349" s="19">
        <f t="shared" si="63"/>
        <v>987874.94832490745</v>
      </c>
      <c r="Q349" s="19"/>
    </row>
    <row r="350" spans="2:20">
      <c r="B350" s="98"/>
      <c r="C350">
        <v>335</v>
      </c>
      <c r="D350" s="19">
        <f t="shared" si="65"/>
        <v>4382.5500411743496</v>
      </c>
      <c r="E350" s="19">
        <f t="shared" si="64"/>
        <v>2216.0635231826082</v>
      </c>
      <c r="F350" s="19">
        <f t="shared" si="59"/>
        <v>2166.4865179917415</v>
      </c>
      <c r="G350" s="19"/>
      <c r="H350" s="19">
        <f t="shared" si="60"/>
        <v>0</v>
      </c>
      <c r="I350" s="19"/>
      <c r="J350" s="19">
        <f t="shared" si="61"/>
        <v>0</v>
      </c>
      <c r="M350" s="19"/>
      <c r="N350" s="19">
        <f t="shared" si="62"/>
        <v>2166.4865179917415</v>
      </c>
      <c r="O350" s="19"/>
      <c r="P350" s="19">
        <f t="shared" si="63"/>
        <v>998291.78013325669</v>
      </c>
      <c r="Q350" s="19"/>
    </row>
    <row r="351" spans="2:20">
      <c r="B351" s="98"/>
      <c r="C351">
        <v>336</v>
      </c>
      <c r="D351" s="19">
        <f t="shared" si="65"/>
        <v>4382.5500411743496</v>
      </c>
      <c r="E351" s="19">
        <f t="shared" si="64"/>
        <v>2216.0635231826082</v>
      </c>
      <c r="F351" s="19">
        <f t="shared" si="59"/>
        <v>2166.4865179917415</v>
      </c>
      <c r="G351" s="19"/>
      <c r="H351" s="19">
        <f t="shared" si="60"/>
        <v>0</v>
      </c>
      <c r="I351" s="19"/>
      <c r="J351" s="19">
        <f t="shared" si="61"/>
        <v>0</v>
      </c>
      <c r="K351" s="19">
        <f>K339*(1+$E$12)</f>
        <v>1153679.4888519966</v>
      </c>
      <c r="L351" s="57">
        <f>J351+K351</f>
        <v>1153679.4888519966</v>
      </c>
      <c r="M351" s="19"/>
      <c r="N351" s="19">
        <f t="shared" si="62"/>
        <v>2166.4865179917415</v>
      </c>
      <c r="O351" s="19"/>
      <c r="P351" s="19">
        <f t="shared" si="63"/>
        <v>1008795.4188733421</v>
      </c>
      <c r="Q351" s="19">
        <f>Q339*(1+$E$7)</f>
        <v>915171.07029490499</v>
      </c>
      <c r="R351" s="19">
        <f>Q351-'Primary Residence Mortgage'!J352</f>
        <v>880763.99719320866</v>
      </c>
      <c r="S351" s="57">
        <f>P351+R351</f>
        <v>1889559.4160665506</v>
      </c>
      <c r="T351" s="57"/>
    </row>
    <row r="352" spans="2:20">
      <c r="B352" s="98">
        <v>29</v>
      </c>
      <c r="C352">
        <v>337</v>
      </c>
      <c r="D352" s="19">
        <f>D351*(1+$E$10)</f>
        <v>4492.1137922037078</v>
      </c>
      <c r="E352" s="19">
        <f t="shared" si="64"/>
        <v>2216.0635231826082</v>
      </c>
      <c r="F352" s="19">
        <f t="shared" si="59"/>
        <v>2276.0502690210997</v>
      </c>
      <c r="G352" s="19"/>
      <c r="H352" s="19">
        <f t="shared" si="60"/>
        <v>0</v>
      </c>
      <c r="I352" s="19"/>
      <c r="J352" s="19">
        <f t="shared" si="61"/>
        <v>0</v>
      </c>
      <c r="M352" s="19"/>
      <c r="N352" s="19">
        <f t="shared" si="62"/>
        <v>2276.0502690210997</v>
      </c>
      <c r="O352" s="19"/>
      <c r="P352" s="19">
        <f t="shared" si="63"/>
        <v>1019497.0647185495</v>
      </c>
      <c r="Q352" s="19"/>
    </row>
    <row r="353" spans="2:20">
      <c r="B353" s="98"/>
      <c r="C353">
        <v>338</v>
      </c>
      <c r="D353" s="19">
        <f>D352</f>
        <v>4492.1137922037078</v>
      </c>
      <c r="E353" s="19">
        <f t="shared" si="64"/>
        <v>2216.0635231826082</v>
      </c>
      <c r="F353" s="19">
        <f t="shared" si="59"/>
        <v>2276.0502690210997</v>
      </c>
      <c r="G353" s="19"/>
      <c r="H353" s="19">
        <f t="shared" si="60"/>
        <v>0</v>
      </c>
      <c r="I353" s="19"/>
      <c r="J353" s="19">
        <f t="shared" si="61"/>
        <v>0</v>
      </c>
      <c r="M353" s="19"/>
      <c r="N353" s="19">
        <f t="shared" si="62"/>
        <v>2276.0502690210997</v>
      </c>
      <c r="O353" s="19"/>
      <c r="P353" s="19">
        <f t="shared" si="63"/>
        <v>1030287.8909458002</v>
      </c>
      <c r="Q353" s="19"/>
    </row>
    <row r="354" spans="2:20">
      <c r="B354" s="98"/>
      <c r="C354">
        <v>339</v>
      </c>
      <c r="D354" s="19">
        <f t="shared" ref="D354:D363" si="66">D353</f>
        <v>4492.1137922037078</v>
      </c>
      <c r="E354" s="19">
        <f t="shared" si="64"/>
        <v>2216.0635231826082</v>
      </c>
      <c r="F354" s="19">
        <f t="shared" si="59"/>
        <v>2276.0502690210997</v>
      </c>
      <c r="G354" s="19"/>
      <c r="H354" s="19">
        <f t="shared" si="60"/>
        <v>0</v>
      </c>
      <c r="I354" s="19"/>
      <c r="J354" s="19">
        <f t="shared" si="61"/>
        <v>0</v>
      </c>
      <c r="M354" s="19"/>
      <c r="N354" s="19">
        <f t="shared" si="62"/>
        <v>2276.0502690210997</v>
      </c>
      <c r="O354" s="19"/>
      <c r="P354" s="19">
        <f t="shared" si="63"/>
        <v>1041168.6407249448</v>
      </c>
      <c r="Q354" s="19"/>
    </row>
    <row r="355" spans="2:20">
      <c r="B355" s="98"/>
      <c r="C355">
        <v>340</v>
      </c>
      <c r="D355" s="19">
        <f t="shared" si="66"/>
        <v>4492.1137922037078</v>
      </c>
      <c r="E355" s="19">
        <f t="shared" si="64"/>
        <v>2216.0635231826082</v>
      </c>
      <c r="F355" s="19">
        <f t="shared" si="59"/>
        <v>2276.0502690210997</v>
      </c>
      <c r="G355" s="19"/>
      <c r="H355" s="19">
        <f t="shared" si="60"/>
        <v>0</v>
      </c>
      <c r="I355" s="19"/>
      <c r="J355" s="19">
        <f t="shared" si="61"/>
        <v>0</v>
      </c>
      <c r="M355" s="19"/>
      <c r="N355" s="19">
        <f t="shared" si="62"/>
        <v>2276.0502690210997</v>
      </c>
      <c r="O355" s="19"/>
      <c r="P355" s="19">
        <f t="shared" si="63"/>
        <v>1052140.0634189155</v>
      </c>
      <c r="Q355" s="19"/>
    </row>
    <row r="356" spans="2:20">
      <c r="B356" s="98"/>
      <c r="C356">
        <v>341</v>
      </c>
      <c r="D356" s="19">
        <f t="shared" si="66"/>
        <v>4492.1137922037078</v>
      </c>
      <c r="E356" s="19">
        <f t="shared" si="64"/>
        <v>2216.0635231826082</v>
      </c>
      <c r="F356" s="19">
        <f t="shared" si="59"/>
        <v>2276.0502690210997</v>
      </c>
      <c r="G356" s="19"/>
      <c r="H356" s="19">
        <f t="shared" si="60"/>
        <v>0</v>
      </c>
      <c r="I356" s="19"/>
      <c r="J356" s="19">
        <f t="shared" si="61"/>
        <v>0</v>
      </c>
      <c r="M356" s="19"/>
      <c r="N356" s="19">
        <f t="shared" si="62"/>
        <v>2276.0502690210997</v>
      </c>
      <c r="O356" s="19"/>
      <c r="P356" s="19">
        <f t="shared" si="63"/>
        <v>1063202.914635336</v>
      </c>
      <c r="Q356" s="19"/>
    </row>
    <row r="357" spans="2:20">
      <c r="B357" s="98"/>
      <c r="C357">
        <v>342</v>
      </c>
      <c r="D357" s="19">
        <f t="shared" si="66"/>
        <v>4492.1137922037078</v>
      </c>
      <c r="E357" s="19">
        <f t="shared" si="64"/>
        <v>2216.0635231826082</v>
      </c>
      <c r="F357" s="19">
        <f t="shared" si="59"/>
        <v>2276.0502690210997</v>
      </c>
      <c r="G357" s="19"/>
      <c r="H357" s="19">
        <f t="shared" si="60"/>
        <v>0</v>
      </c>
      <c r="I357" s="19"/>
      <c r="J357" s="19">
        <f t="shared" si="61"/>
        <v>0</v>
      </c>
      <c r="M357" s="19"/>
      <c r="N357" s="19">
        <f t="shared" si="62"/>
        <v>2276.0502690210997</v>
      </c>
      <c r="O357" s="19"/>
      <c r="P357" s="19">
        <f t="shared" si="63"/>
        <v>1074357.9562785602</v>
      </c>
      <c r="Q357" s="19"/>
    </row>
    <row r="358" spans="2:20">
      <c r="B358" s="98"/>
      <c r="C358">
        <v>343</v>
      </c>
      <c r="D358" s="19">
        <f t="shared" si="66"/>
        <v>4492.1137922037078</v>
      </c>
      <c r="E358" s="19">
        <f t="shared" si="64"/>
        <v>2216.0635231826082</v>
      </c>
      <c r="F358" s="19">
        <f t="shared" si="59"/>
        <v>2276.0502690210997</v>
      </c>
      <c r="G358" s="19"/>
      <c r="H358" s="19">
        <f t="shared" si="60"/>
        <v>0</v>
      </c>
      <c r="I358" s="19"/>
      <c r="J358" s="19">
        <f t="shared" si="61"/>
        <v>0</v>
      </c>
      <c r="M358" s="19"/>
      <c r="N358" s="19">
        <f t="shared" si="62"/>
        <v>2276.0502690210997</v>
      </c>
      <c r="O358" s="19"/>
      <c r="P358" s="19">
        <f t="shared" si="63"/>
        <v>1085605.9566021445</v>
      </c>
      <c r="Q358" s="19"/>
    </row>
    <row r="359" spans="2:20">
      <c r="B359" s="98"/>
      <c r="C359">
        <v>344</v>
      </c>
      <c r="D359" s="19">
        <f t="shared" si="66"/>
        <v>4492.1137922037078</v>
      </c>
      <c r="E359" s="19">
        <f t="shared" si="64"/>
        <v>2216.0635231826082</v>
      </c>
      <c r="F359" s="19">
        <f t="shared" si="59"/>
        <v>2276.0502690210997</v>
      </c>
      <c r="G359" s="19"/>
      <c r="H359" s="19">
        <f t="shared" si="60"/>
        <v>0</v>
      </c>
      <c r="I359" s="19"/>
      <c r="J359" s="19">
        <f t="shared" si="61"/>
        <v>0</v>
      </c>
      <c r="M359" s="19"/>
      <c r="N359" s="19">
        <f t="shared" si="62"/>
        <v>2276.0502690210997</v>
      </c>
      <c r="O359" s="19"/>
      <c r="P359" s="19">
        <f t="shared" si="63"/>
        <v>1096947.6902617586</v>
      </c>
      <c r="Q359" s="19"/>
    </row>
    <row r="360" spans="2:20">
      <c r="B360" s="98"/>
      <c r="C360">
        <v>345</v>
      </c>
      <c r="D360" s="19">
        <f t="shared" si="66"/>
        <v>4492.1137922037078</v>
      </c>
      <c r="E360" s="19">
        <f t="shared" si="64"/>
        <v>2216.0635231826082</v>
      </c>
      <c r="F360" s="19">
        <f t="shared" si="59"/>
        <v>2276.0502690210997</v>
      </c>
      <c r="G360" s="19"/>
      <c r="H360" s="19">
        <f t="shared" si="60"/>
        <v>0</v>
      </c>
      <c r="I360" s="19"/>
      <c r="J360" s="19">
        <f t="shared" si="61"/>
        <v>0</v>
      </c>
      <c r="M360" s="19"/>
      <c r="N360" s="19">
        <f t="shared" si="62"/>
        <v>2276.0502690210997</v>
      </c>
      <c r="O360" s="19"/>
      <c r="P360" s="19">
        <f t="shared" si="63"/>
        <v>1108383.9383685363</v>
      </c>
      <c r="Q360" s="19"/>
    </row>
    <row r="361" spans="2:20">
      <c r="B361" s="98"/>
      <c r="C361">
        <v>346</v>
      </c>
      <c r="D361" s="19">
        <f t="shared" si="66"/>
        <v>4492.1137922037078</v>
      </c>
      <c r="E361" s="19">
        <f t="shared" si="64"/>
        <v>2216.0635231826082</v>
      </c>
      <c r="F361" s="19">
        <f t="shared" si="59"/>
        <v>2276.0502690210997</v>
      </c>
      <c r="G361" s="19"/>
      <c r="H361" s="19">
        <f t="shared" si="60"/>
        <v>0</v>
      </c>
      <c r="I361" s="19"/>
      <c r="J361" s="19">
        <f t="shared" si="61"/>
        <v>0</v>
      </c>
      <c r="M361" s="19"/>
      <c r="N361" s="19">
        <f t="shared" si="62"/>
        <v>2276.0502690210997</v>
      </c>
      <c r="O361" s="19"/>
      <c r="P361" s="19">
        <f t="shared" si="63"/>
        <v>1119915.4885428704</v>
      </c>
      <c r="Q361" s="19"/>
    </row>
    <row r="362" spans="2:20">
      <c r="B362" s="98"/>
      <c r="C362">
        <v>347</v>
      </c>
      <c r="D362" s="19">
        <f t="shared" si="66"/>
        <v>4492.1137922037078</v>
      </c>
      <c r="E362" s="19">
        <f t="shared" si="64"/>
        <v>2216.0635231826082</v>
      </c>
      <c r="F362" s="19">
        <f t="shared" si="59"/>
        <v>2276.0502690210997</v>
      </c>
      <c r="G362" s="19"/>
      <c r="H362" s="19">
        <f t="shared" si="60"/>
        <v>0</v>
      </c>
      <c r="I362" s="19"/>
      <c r="J362" s="19">
        <f t="shared" si="61"/>
        <v>0</v>
      </c>
      <c r="M362" s="19"/>
      <c r="N362" s="19">
        <f t="shared" si="62"/>
        <v>2276.0502690210997</v>
      </c>
      <c r="O362" s="19"/>
      <c r="P362" s="19">
        <f t="shared" si="63"/>
        <v>1131543.1349686573</v>
      </c>
      <c r="Q362" s="19"/>
    </row>
    <row r="363" spans="2:20">
      <c r="B363" s="98"/>
      <c r="C363">
        <v>348</v>
      </c>
      <c r="D363" s="19">
        <f t="shared" si="66"/>
        <v>4492.1137922037078</v>
      </c>
      <c r="E363" s="19">
        <f t="shared" si="64"/>
        <v>2216.0635231826082</v>
      </c>
      <c r="F363" s="19">
        <f t="shared" si="59"/>
        <v>2276.0502690210997</v>
      </c>
      <c r="G363" s="19"/>
      <c r="H363" s="19">
        <f t="shared" si="60"/>
        <v>0</v>
      </c>
      <c r="I363" s="19"/>
      <c r="J363" s="19">
        <f t="shared" si="61"/>
        <v>0</v>
      </c>
      <c r="K363" s="19">
        <f>K351*(1+$E$12)</f>
        <v>1269047.4377371965</v>
      </c>
      <c r="L363" s="57">
        <f>J363+K363</f>
        <v>1269047.4377371965</v>
      </c>
      <c r="M363" s="19"/>
      <c r="N363" s="19">
        <f t="shared" si="62"/>
        <v>2276.0502690210997</v>
      </c>
      <c r="O363" s="19"/>
      <c r="P363" s="19">
        <f t="shared" si="63"/>
        <v>1143267.6784479923</v>
      </c>
      <c r="Q363" s="19">
        <f>Q351*(1+$E$7)</f>
        <v>942626.20240375213</v>
      </c>
      <c r="R363" s="19">
        <f>Q363-'Primary Residence Mortgage'!J364</f>
        <v>925096.35424940125</v>
      </c>
      <c r="S363" s="57">
        <f>P363+R363</f>
        <v>2068364.0326973936</v>
      </c>
      <c r="T363" s="57"/>
    </row>
    <row r="364" spans="2:20">
      <c r="B364" s="98">
        <v>30</v>
      </c>
      <c r="C364">
        <v>349</v>
      </c>
      <c r="D364" s="19">
        <f>D363*(1+$E$10)</f>
        <v>4604.4166370088005</v>
      </c>
      <c r="E364" s="19">
        <f t="shared" si="64"/>
        <v>2216.0635231826082</v>
      </c>
      <c r="F364" s="19">
        <f t="shared" si="59"/>
        <v>2388.3531138261924</v>
      </c>
      <c r="G364" s="19"/>
      <c r="H364" s="19">
        <f t="shared" si="60"/>
        <v>0</v>
      </c>
      <c r="I364" s="19"/>
      <c r="J364" s="19">
        <f t="shared" si="61"/>
        <v>0</v>
      </c>
      <c r="M364" s="19"/>
      <c r="N364" s="19">
        <f t="shared" si="62"/>
        <v>2388.3531138261924</v>
      </c>
      <c r="O364" s="19"/>
      <c r="P364" s="19">
        <f t="shared" si="63"/>
        <v>1155203.1651581668</v>
      </c>
      <c r="Q364" s="19"/>
    </row>
    <row r="365" spans="2:20">
      <c r="B365" s="98"/>
      <c r="C365">
        <v>350</v>
      </c>
      <c r="D365" s="19">
        <f>D364</f>
        <v>4604.4166370088005</v>
      </c>
      <c r="E365" s="19">
        <f t="shared" si="64"/>
        <v>2216.0635231826082</v>
      </c>
      <c r="F365" s="19">
        <f t="shared" si="59"/>
        <v>2388.3531138261924</v>
      </c>
      <c r="G365" s="19"/>
      <c r="H365" s="19">
        <f t="shared" si="60"/>
        <v>0</v>
      </c>
      <c r="I365" s="19"/>
      <c r="J365" s="19">
        <f t="shared" si="61"/>
        <v>0</v>
      </c>
      <c r="M365" s="19"/>
      <c r="N365" s="19">
        <f t="shared" si="62"/>
        <v>2388.3531138261924</v>
      </c>
      <c r="O365" s="19"/>
      <c r="P365" s="19">
        <f t="shared" si="63"/>
        <v>1167238.1142575927</v>
      </c>
      <c r="Q365" s="19"/>
    </row>
    <row r="366" spans="2:20">
      <c r="B366" s="98"/>
      <c r="C366">
        <v>351</v>
      </c>
      <c r="D366" s="19">
        <f t="shared" ref="D366:D375" si="67">D365</f>
        <v>4604.4166370088005</v>
      </c>
      <c r="E366" s="19">
        <f t="shared" si="64"/>
        <v>2216.0635231826082</v>
      </c>
      <c r="F366" s="19">
        <f t="shared" si="59"/>
        <v>2388.3531138261924</v>
      </c>
      <c r="G366" s="19"/>
      <c r="H366" s="19">
        <f t="shared" si="60"/>
        <v>0</v>
      </c>
      <c r="I366" s="19"/>
      <c r="J366" s="19">
        <f t="shared" si="61"/>
        <v>0</v>
      </c>
      <c r="M366" s="19"/>
      <c r="N366" s="19">
        <f t="shared" si="62"/>
        <v>2388.3531138261924</v>
      </c>
      <c r="O366" s="19"/>
      <c r="P366" s="19">
        <f t="shared" si="63"/>
        <v>1179373.354599514</v>
      </c>
      <c r="Q366" s="19"/>
    </row>
    <row r="367" spans="2:20">
      <c r="B367" s="98"/>
      <c r="C367">
        <v>352</v>
      </c>
      <c r="D367" s="19">
        <f t="shared" si="67"/>
        <v>4604.4166370088005</v>
      </c>
      <c r="E367" s="19">
        <f t="shared" si="64"/>
        <v>2216.0635231826082</v>
      </c>
      <c r="F367" s="19">
        <f t="shared" si="59"/>
        <v>2388.3531138261924</v>
      </c>
      <c r="G367" s="19"/>
      <c r="H367" s="19">
        <f t="shared" si="60"/>
        <v>0</v>
      </c>
      <c r="I367" s="19"/>
      <c r="J367" s="19">
        <f t="shared" si="61"/>
        <v>0</v>
      </c>
      <c r="M367" s="19"/>
      <c r="N367" s="19">
        <f t="shared" si="62"/>
        <v>2388.3531138261924</v>
      </c>
      <c r="O367" s="19"/>
      <c r="P367" s="19">
        <f t="shared" si="63"/>
        <v>1191609.7219442846</v>
      </c>
      <c r="Q367" s="19"/>
    </row>
    <row r="368" spans="2:20">
      <c r="B368" s="98"/>
      <c r="C368">
        <v>353</v>
      </c>
      <c r="D368" s="19">
        <f t="shared" si="67"/>
        <v>4604.4166370088005</v>
      </c>
      <c r="E368" s="19">
        <f t="shared" si="64"/>
        <v>2216.0635231826082</v>
      </c>
      <c r="F368" s="19">
        <f t="shared" si="59"/>
        <v>2388.3531138261924</v>
      </c>
      <c r="G368" s="19"/>
      <c r="H368" s="19">
        <f t="shared" si="60"/>
        <v>0</v>
      </c>
      <c r="I368" s="19"/>
      <c r="J368" s="19">
        <f t="shared" si="61"/>
        <v>0</v>
      </c>
      <c r="M368" s="19"/>
      <c r="N368" s="19">
        <f t="shared" si="62"/>
        <v>2388.3531138261924</v>
      </c>
      <c r="O368" s="19"/>
      <c r="P368" s="19">
        <f t="shared" si="63"/>
        <v>1203948.0590169283</v>
      </c>
      <c r="Q368" s="19"/>
    </row>
    <row r="369" spans="2:20">
      <c r="B369" s="98"/>
      <c r="C369">
        <v>354</v>
      </c>
      <c r="D369" s="19">
        <f t="shared" si="67"/>
        <v>4604.4166370088005</v>
      </c>
      <c r="E369" s="19">
        <f t="shared" si="64"/>
        <v>2216.0635231826082</v>
      </c>
      <c r="F369" s="19">
        <f t="shared" si="59"/>
        <v>2388.3531138261924</v>
      </c>
      <c r="G369" s="19"/>
      <c r="H369" s="19">
        <f t="shared" si="60"/>
        <v>0</v>
      </c>
      <c r="I369" s="19"/>
      <c r="J369" s="19">
        <f t="shared" si="61"/>
        <v>0</v>
      </c>
      <c r="M369" s="19"/>
      <c r="N369" s="19">
        <f t="shared" si="62"/>
        <v>2388.3531138261924</v>
      </c>
      <c r="O369" s="19"/>
      <c r="P369" s="19">
        <f t="shared" si="63"/>
        <v>1216389.2155651774</v>
      </c>
      <c r="Q369" s="19"/>
    </row>
    <row r="370" spans="2:20">
      <c r="B370" s="98"/>
      <c r="C370">
        <v>355</v>
      </c>
      <c r="D370" s="19">
        <f t="shared" si="67"/>
        <v>4604.4166370088005</v>
      </c>
      <c r="E370" s="19">
        <f t="shared" si="64"/>
        <v>2216.0635231826082</v>
      </c>
      <c r="F370" s="19">
        <f t="shared" si="59"/>
        <v>2388.3531138261924</v>
      </c>
      <c r="G370" s="19"/>
      <c r="H370" s="19">
        <f t="shared" si="60"/>
        <v>0</v>
      </c>
      <c r="I370" s="19"/>
      <c r="J370" s="19">
        <f t="shared" si="61"/>
        <v>0</v>
      </c>
      <c r="M370" s="19"/>
      <c r="N370" s="19">
        <f t="shared" si="62"/>
        <v>2388.3531138261924</v>
      </c>
      <c r="O370" s="19"/>
      <c r="P370" s="19">
        <f t="shared" si="63"/>
        <v>1228934.0484179952</v>
      </c>
      <c r="Q370" s="19"/>
    </row>
    <row r="371" spans="2:20">
      <c r="B371" s="98"/>
      <c r="C371">
        <v>356</v>
      </c>
      <c r="D371" s="19">
        <f t="shared" si="67"/>
        <v>4604.4166370088005</v>
      </c>
      <c r="E371" s="19">
        <f t="shared" si="64"/>
        <v>2216.0635231826082</v>
      </c>
      <c r="F371" s="19">
        <f t="shared" si="59"/>
        <v>2388.3531138261924</v>
      </c>
      <c r="G371" s="19"/>
      <c r="H371" s="19">
        <f t="shared" si="60"/>
        <v>0</v>
      </c>
      <c r="I371" s="19"/>
      <c r="J371" s="19">
        <f t="shared" si="61"/>
        <v>0</v>
      </c>
      <c r="M371" s="19"/>
      <c r="N371" s="19">
        <f t="shared" si="62"/>
        <v>2388.3531138261924</v>
      </c>
      <c r="O371" s="19"/>
      <c r="P371" s="19">
        <f t="shared" si="63"/>
        <v>1241583.4215445865</v>
      </c>
      <c r="Q371" s="19"/>
    </row>
    <row r="372" spans="2:20">
      <c r="B372" s="98"/>
      <c r="C372">
        <v>357</v>
      </c>
      <c r="D372" s="19">
        <f t="shared" si="67"/>
        <v>4604.4166370088005</v>
      </c>
      <c r="E372" s="19">
        <f t="shared" si="64"/>
        <v>2216.0635231826082</v>
      </c>
      <c r="F372" s="19">
        <f t="shared" si="59"/>
        <v>2388.3531138261924</v>
      </c>
      <c r="G372" s="19"/>
      <c r="H372" s="19">
        <f t="shared" si="60"/>
        <v>0</v>
      </c>
      <c r="I372" s="19"/>
      <c r="J372" s="19">
        <f t="shared" si="61"/>
        <v>0</v>
      </c>
      <c r="M372" s="19"/>
      <c r="N372" s="19">
        <f t="shared" si="62"/>
        <v>2388.3531138261924</v>
      </c>
      <c r="O372" s="19"/>
      <c r="P372" s="19">
        <f t="shared" si="63"/>
        <v>1254338.2061138994</v>
      </c>
      <c r="Q372" s="19"/>
    </row>
    <row r="373" spans="2:20">
      <c r="B373" s="98"/>
      <c r="C373">
        <v>358</v>
      </c>
      <c r="D373" s="19">
        <f t="shared" si="67"/>
        <v>4604.4166370088005</v>
      </c>
      <c r="E373" s="19">
        <f t="shared" si="64"/>
        <v>2216.0635231826082</v>
      </c>
      <c r="F373" s="19">
        <f t="shared" si="59"/>
        <v>2388.3531138261924</v>
      </c>
      <c r="G373" s="19"/>
      <c r="H373" s="19">
        <f t="shared" si="60"/>
        <v>0</v>
      </c>
      <c r="I373" s="19"/>
      <c r="J373" s="19">
        <f t="shared" si="61"/>
        <v>0</v>
      </c>
      <c r="M373" s="19"/>
      <c r="N373" s="19">
        <f t="shared" si="62"/>
        <v>2388.3531138261924</v>
      </c>
      <c r="O373" s="19"/>
      <c r="P373" s="19">
        <f t="shared" si="63"/>
        <v>1267199.2805546231</v>
      </c>
      <c r="Q373" s="19"/>
    </row>
    <row r="374" spans="2:20">
      <c r="B374" s="98"/>
      <c r="C374">
        <v>359</v>
      </c>
      <c r="D374" s="19">
        <f t="shared" si="67"/>
        <v>4604.4166370088005</v>
      </c>
      <c r="E374" s="19">
        <f t="shared" si="64"/>
        <v>2216.0635231826082</v>
      </c>
      <c r="F374" s="19">
        <f t="shared" si="59"/>
        <v>2388.3531138261924</v>
      </c>
      <c r="G374" s="19"/>
      <c r="H374" s="19">
        <f t="shared" si="60"/>
        <v>0</v>
      </c>
      <c r="I374" s="19"/>
      <c r="J374" s="19">
        <f t="shared" si="61"/>
        <v>0</v>
      </c>
      <c r="M374" s="19"/>
      <c r="N374" s="19">
        <f t="shared" si="62"/>
        <v>2388.3531138261924</v>
      </c>
      <c r="O374" s="19"/>
      <c r="P374" s="19">
        <f t="shared" si="63"/>
        <v>1280167.5306156862</v>
      </c>
      <c r="Q374" s="19"/>
    </row>
    <row r="375" spans="2:20">
      <c r="B375" s="98"/>
      <c r="C375">
        <v>360</v>
      </c>
      <c r="D375" s="19">
        <f t="shared" si="67"/>
        <v>4604.4166370088005</v>
      </c>
      <c r="E375" s="19">
        <f t="shared" si="64"/>
        <v>2216.0635231826082</v>
      </c>
      <c r="F375" s="19">
        <f t="shared" si="59"/>
        <v>2388.3531138261924</v>
      </c>
      <c r="G375" s="19"/>
      <c r="H375" s="19">
        <f t="shared" si="60"/>
        <v>0</v>
      </c>
      <c r="I375" s="19"/>
      <c r="J375" s="19">
        <f t="shared" si="61"/>
        <v>0</v>
      </c>
      <c r="K375" s="19">
        <f>K363*(1+$E$12)</f>
        <v>1395952.1815109162</v>
      </c>
      <c r="L375" s="57">
        <f>J375+K375</f>
        <v>1395952.1815109162</v>
      </c>
      <c r="M375" s="19"/>
      <c r="N375" s="19">
        <f t="shared" si="62"/>
        <v>2388.3531138261924</v>
      </c>
      <c r="O375" s="19"/>
      <c r="P375" s="19">
        <f t="shared" si="63"/>
        <v>1293243.8494272581</v>
      </c>
      <c r="Q375" s="19">
        <f>Q363*(1+$E$7)</f>
        <v>970904.98847586475</v>
      </c>
      <c r="R375" s="19">
        <f>Q375-'Primary Residence Mortgage'!J376</f>
        <v>970904.98847586475</v>
      </c>
      <c r="S375" s="57">
        <f>P375+R375</f>
        <v>2264148.8379031229</v>
      </c>
      <c r="T375" s="57"/>
    </row>
    <row r="376" spans="2:20">
      <c r="D376" s="19"/>
    </row>
    <row r="377" spans="2:20">
      <c r="D377" s="19"/>
    </row>
    <row r="378" spans="2:20">
      <c r="D378" s="19"/>
    </row>
    <row r="379" spans="2:20">
      <c r="D379" s="19"/>
    </row>
    <row r="380" spans="2:20">
      <c r="D380" s="19"/>
    </row>
    <row r="381" spans="2:20">
      <c r="D381" s="19"/>
    </row>
    <row r="382" spans="2:20">
      <c r="D382" s="19"/>
    </row>
    <row r="383" spans="2:20">
      <c r="D383" s="19"/>
    </row>
    <row r="384" spans="2:20">
      <c r="D384" s="19"/>
    </row>
    <row r="385" spans="4:4">
      <c r="D385" s="19"/>
    </row>
    <row r="386" spans="4:4">
      <c r="D386" s="19"/>
    </row>
    <row r="387" spans="4:4">
      <c r="D387" s="19"/>
    </row>
    <row r="388" spans="4:4">
      <c r="D388" s="19"/>
    </row>
    <row r="389" spans="4:4">
      <c r="D389" s="19"/>
    </row>
    <row r="390" spans="4:4">
      <c r="D390" s="19"/>
    </row>
    <row r="391" spans="4:4">
      <c r="D391" s="19"/>
    </row>
    <row r="392" spans="4:4">
      <c r="D392" s="19"/>
    </row>
    <row r="393" spans="4:4">
      <c r="D393" s="19"/>
    </row>
    <row r="394" spans="4:4">
      <c r="D394" s="19"/>
    </row>
    <row r="395" spans="4:4">
      <c r="D395" s="19"/>
    </row>
    <row r="396" spans="4:4">
      <c r="D396" s="19"/>
    </row>
    <row r="397" spans="4:4">
      <c r="D397" s="19"/>
    </row>
    <row r="398" spans="4:4">
      <c r="D398" s="19"/>
    </row>
    <row r="399" spans="4:4">
      <c r="D399" s="19"/>
    </row>
  </sheetData>
  <mergeCells count="40">
    <mergeCell ref="B28:B39"/>
    <mergeCell ref="B6:D6"/>
    <mergeCell ref="B5:D5"/>
    <mergeCell ref="B7:D7"/>
    <mergeCell ref="B9:D9"/>
    <mergeCell ref="B10:D10"/>
    <mergeCell ref="B16:B27"/>
    <mergeCell ref="B13:D13"/>
    <mergeCell ref="B352:B363"/>
    <mergeCell ref="B364:B375"/>
    <mergeCell ref="B12:D12"/>
    <mergeCell ref="B256:B267"/>
    <mergeCell ref="B268:B279"/>
    <mergeCell ref="B280:B291"/>
    <mergeCell ref="B292:B303"/>
    <mergeCell ref="B304:B315"/>
    <mergeCell ref="B316:B327"/>
    <mergeCell ref="B184:B195"/>
    <mergeCell ref="B196:B207"/>
    <mergeCell ref="B208:B219"/>
    <mergeCell ref="B220:B231"/>
    <mergeCell ref="B232:B243"/>
    <mergeCell ref="B244:B255"/>
    <mergeCell ref="B112:B123"/>
    <mergeCell ref="H14:L14"/>
    <mergeCell ref="N14:S14"/>
    <mergeCell ref="B2:S3"/>
    <mergeCell ref="B328:B339"/>
    <mergeCell ref="B340:B351"/>
    <mergeCell ref="B124:B135"/>
    <mergeCell ref="B136:B147"/>
    <mergeCell ref="B148:B159"/>
    <mergeCell ref="B160:B171"/>
    <mergeCell ref="B172:B183"/>
    <mergeCell ref="B40:B51"/>
    <mergeCell ref="B52:B63"/>
    <mergeCell ref="B64:B75"/>
    <mergeCell ref="B76:B87"/>
    <mergeCell ref="B88:B99"/>
    <mergeCell ref="B100:B111"/>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32</vt:i4>
      </vt:variant>
    </vt:vector>
  </HeadingPairs>
  <TitlesOfParts>
    <vt:vector size="37" baseType="lpstr">
      <vt:lpstr>Real Estate Investment</vt:lpstr>
      <vt:lpstr>Stock vs Real Estate Investment</vt:lpstr>
      <vt:lpstr>SPACER</vt:lpstr>
      <vt:lpstr>Primary Residence Mortgage</vt:lpstr>
      <vt:lpstr>Rent vs. Own</vt:lpstr>
      <vt:lpstr>'Primary Residence Mortgage'!ColumnTitle1</vt:lpstr>
      <vt:lpstr>ColumnTitle1</vt:lpstr>
      <vt:lpstr>'Primary Residence Mortgage'!End_Bal</vt:lpstr>
      <vt:lpstr>End_Bal</vt:lpstr>
      <vt:lpstr>'Primary Residence Mortgage'!ExtraPayments</vt:lpstr>
      <vt:lpstr>ExtraPayments</vt:lpstr>
      <vt:lpstr>'Primary Residence Mortgage'!InterestRate</vt:lpstr>
      <vt:lpstr>InterestRate</vt:lpstr>
      <vt:lpstr>'Primary Residence Mortgage'!LenderName</vt:lpstr>
      <vt:lpstr>LenderName</vt:lpstr>
      <vt:lpstr>'Primary Residence Mortgage'!LoanAmount</vt:lpstr>
      <vt:lpstr>LoanAmount</vt:lpstr>
      <vt:lpstr>'Primary Residence Mortgage'!LoanPeriod</vt:lpstr>
      <vt:lpstr>LoanPeriod</vt:lpstr>
      <vt:lpstr>'Primary Residence Mortgage'!LoanStartDate</vt:lpstr>
      <vt:lpstr>LoanStartDate</vt:lpstr>
      <vt:lpstr>'Primary Residence Mortgage'!PaymentsPerYear</vt:lpstr>
      <vt:lpstr>PaymentsPerYear</vt:lpstr>
      <vt:lpstr>'Primary Residence Mortgage'!Print_Titles</vt:lpstr>
      <vt:lpstr>'Real Estate Investment'!Print_Titles</vt:lpstr>
      <vt:lpstr>'Primary Residence Mortgage'!RowTitleRegion1..E9</vt:lpstr>
      <vt:lpstr>RowTitleRegion1..E9</vt:lpstr>
      <vt:lpstr>'Primary Residence Mortgage'!RowTitleRegion2..I7</vt:lpstr>
      <vt:lpstr>RowTitleRegion2..I7</vt:lpstr>
      <vt:lpstr>'Primary Residence Mortgage'!RowTitleRegion3..E9</vt:lpstr>
      <vt:lpstr>RowTitleRegion3..E9</vt:lpstr>
      <vt:lpstr>'Primary Residence Mortgage'!RowTitleRegion4..H9</vt:lpstr>
      <vt:lpstr>RowTitleRegion4..H9</vt:lpstr>
      <vt:lpstr>'Primary Residence Mortgage'!ScheduledNumberOfPayments</vt:lpstr>
      <vt:lpstr>ScheduledNumberOfPayments</vt:lpstr>
      <vt:lpstr>'Primary Residence Mortgage'!ScheduledPayment</vt:lpstr>
      <vt:lpstr>ScheduledPayment</vt:lpstr>
    </vt:vector>
  </TitlesOfParts>
  <Company>MortgageCalculator.org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Excel Mortgage Calculator With Extra Payments</dc:title>
  <dc:subject>Calculate mortgage payments quickly and easily. Includes extra payments option.</dc:subject>
  <dc:creator>MortgageCalculator.org</dc:creator>
  <cp:keywords>mortgage; home loans; amortization</cp:keywords>
  <dc:description>web-ready Excel template to calculate montly mortgage payments with amortization schedule and extra payments.</dc:description>
  <cp:lastModifiedBy>defuser</cp:lastModifiedBy>
  <cp:revision>1</cp:revision>
  <dcterms:created xsi:type="dcterms:W3CDTF">2016-12-02T10:43:28Z</dcterms:created>
  <dcterms:modified xsi:type="dcterms:W3CDTF">2020-10-10T16:21:55Z</dcterms:modified>
  <cp:category>mortgage;home loans;amortization</cp:category>
  <cp:version>1.0</cp:version>
</cp:coreProperties>
</file>